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mnfilesv\10103000総務課\02 財産係\_堀内PC\04_財産台帳関係\【新台帳（AsyzAP）】固定資産台帳関係\R4\市ホームページへの固定資産台帳の掲載\03公表用\"/>
    </mc:Choice>
  </mc:AlternateContent>
  <bookViews>
    <workbookView xWindow="0" yWindow="0" windowWidth="14040" windowHeight="8355"/>
  </bookViews>
  <sheets>
    <sheet name="template" sheetId="1" r:id="rId1"/>
  </sheets>
  <definedNames>
    <definedName name="_xlnm._FilterDatabase" localSheetId="0" hidden="1">template!$A$1:$IT$147</definedName>
  </definedNames>
  <calcPr calcId="162913"/>
</workbook>
</file>

<file path=xl/calcChain.xml><?xml version="1.0" encoding="utf-8"?>
<calcChain xmlns="http://schemas.openxmlformats.org/spreadsheetml/2006/main">
  <c r="DO19" i="1" l="1"/>
  <c r="DG19" i="1"/>
  <c r="R19" i="1"/>
  <c r="Q19" i="1"/>
  <c r="DA19" i="1"/>
  <c r="W19" i="1"/>
  <c r="CZ19" i="1"/>
  <c r="O19" i="1"/>
  <c r="CY19" i="1"/>
  <c r="BP19" i="1"/>
  <c r="BO19" i="1"/>
  <c r="DO86" i="1"/>
  <c r="DG86" i="1"/>
  <c r="R86" i="1"/>
  <c r="Q86" i="1"/>
  <c r="DA86" i="1"/>
  <c r="V86" i="1"/>
  <c r="W86" i="1"/>
  <c r="CZ86" i="1"/>
  <c r="O86" i="1"/>
  <c r="CY86" i="1"/>
  <c r="BP86" i="1"/>
  <c r="BO86" i="1"/>
  <c r="DO90" i="1"/>
  <c r="DG90" i="1"/>
  <c r="R90" i="1"/>
  <c r="Q90" i="1"/>
  <c r="DA90" i="1"/>
  <c r="V90" i="1"/>
  <c r="W90" i="1"/>
  <c r="CZ90" i="1"/>
  <c r="O90" i="1"/>
  <c r="CY90" i="1"/>
  <c r="BP90" i="1"/>
  <c r="BO90" i="1"/>
  <c r="DO95" i="1"/>
  <c r="DG95" i="1"/>
  <c r="R95" i="1"/>
  <c r="Q95" i="1"/>
  <c r="DA95" i="1"/>
  <c r="V95" i="1"/>
  <c r="W95" i="1"/>
  <c r="CZ95" i="1"/>
  <c r="O95" i="1"/>
  <c r="CY95" i="1"/>
  <c r="BP95" i="1"/>
  <c r="BO95" i="1"/>
  <c r="DO96" i="1"/>
  <c r="DG96" i="1"/>
  <c r="R96" i="1"/>
  <c r="Q96" i="1"/>
  <c r="DA96" i="1"/>
  <c r="V96" i="1"/>
  <c r="W96" i="1"/>
  <c r="CZ96" i="1"/>
  <c r="O96" i="1"/>
  <c r="CY96" i="1"/>
  <c r="BP96" i="1"/>
  <c r="BO96" i="1"/>
  <c r="DG123" i="1"/>
  <c r="R123" i="1"/>
  <c r="Q123" i="1"/>
  <c r="DA123" i="1"/>
  <c r="V123" i="1"/>
  <c r="W123" i="1"/>
  <c r="CZ123" i="1"/>
  <c r="O123" i="1"/>
  <c r="CY123" i="1"/>
  <c r="BP123" i="1"/>
  <c r="DO109" i="1"/>
  <c r="R109" i="1"/>
  <c r="Q109" i="1"/>
  <c r="DA109" i="1"/>
  <c r="W109" i="1"/>
  <c r="CZ109" i="1"/>
  <c r="O109" i="1"/>
  <c r="BP109" i="1"/>
  <c r="BO109" i="1"/>
  <c r="DO108" i="1"/>
  <c r="R108" i="1"/>
  <c r="Q108" i="1"/>
  <c r="DA108" i="1"/>
  <c r="W108" i="1"/>
  <c r="CZ108" i="1"/>
  <c r="O108" i="1"/>
  <c r="BP108" i="1"/>
  <c r="BO108" i="1"/>
  <c r="DO143" i="1"/>
  <c r="R143" i="1"/>
  <c r="Q143" i="1"/>
  <c r="DA143" i="1"/>
  <c r="W143" i="1"/>
  <c r="CZ143" i="1"/>
  <c r="O143" i="1"/>
  <c r="BP143" i="1"/>
  <c r="BO143" i="1"/>
  <c r="DO56" i="1"/>
  <c r="R56" i="1"/>
  <c r="Q56" i="1"/>
  <c r="DA56" i="1"/>
  <c r="W56" i="1"/>
  <c r="CZ56" i="1"/>
  <c r="O56" i="1"/>
  <c r="BP56" i="1"/>
  <c r="BO56" i="1"/>
  <c r="DO133" i="1"/>
  <c r="DG133" i="1"/>
  <c r="R133" i="1"/>
  <c r="Q133" i="1"/>
  <c r="DA133" i="1"/>
  <c r="V133" i="1"/>
  <c r="W133" i="1"/>
  <c r="CZ133" i="1"/>
  <c r="O133" i="1"/>
  <c r="CY133" i="1"/>
  <c r="BP133" i="1"/>
  <c r="BO133" i="1"/>
  <c r="DO134" i="1"/>
  <c r="DG134" i="1"/>
  <c r="R134" i="1"/>
  <c r="Q134" i="1"/>
  <c r="DA134" i="1"/>
  <c r="V134" i="1"/>
  <c r="W134" i="1"/>
  <c r="CZ134" i="1"/>
  <c r="O134" i="1"/>
  <c r="CY134" i="1"/>
  <c r="BP134" i="1"/>
  <c r="BO134" i="1"/>
  <c r="DO136" i="1"/>
  <c r="DG136" i="1"/>
  <c r="R136" i="1"/>
  <c r="Q136" i="1"/>
  <c r="DA136" i="1"/>
  <c r="V136" i="1"/>
  <c r="W136" i="1"/>
  <c r="CZ136" i="1"/>
  <c r="O136" i="1"/>
  <c r="CY136" i="1"/>
  <c r="BP136" i="1"/>
  <c r="BO136" i="1"/>
  <c r="DO137" i="1"/>
  <c r="DG137" i="1"/>
  <c r="R137" i="1"/>
  <c r="Q137" i="1"/>
  <c r="DA137" i="1"/>
  <c r="V137" i="1"/>
  <c r="W137" i="1"/>
  <c r="CZ137" i="1"/>
  <c r="O137" i="1"/>
  <c r="CY137" i="1"/>
  <c r="BP137" i="1"/>
  <c r="BO137" i="1"/>
  <c r="DO9" i="1"/>
  <c r="R9" i="1"/>
  <c r="Q9" i="1"/>
  <c r="DA9" i="1"/>
  <c r="W9" i="1"/>
  <c r="CZ9" i="1"/>
  <c r="O9" i="1"/>
  <c r="BP9" i="1"/>
  <c r="BO9" i="1"/>
  <c r="DO4" i="1"/>
  <c r="R4" i="1"/>
  <c r="Q4" i="1"/>
  <c r="DA4" i="1"/>
  <c r="W4" i="1"/>
  <c r="CZ4" i="1"/>
  <c r="O4" i="1"/>
  <c r="BP4" i="1"/>
  <c r="BO4" i="1"/>
  <c r="DO17" i="1"/>
  <c r="R17" i="1"/>
  <c r="Q17" i="1"/>
  <c r="DA17" i="1"/>
  <c r="W17" i="1"/>
  <c r="CZ17" i="1"/>
  <c r="O17" i="1"/>
  <c r="BP17" i="1"/>
  <c r="BO17" i="1"/>
  <c r="DO139" i="1"/>
  <c r="R139" i="1"/>
  <c r="Q139" i="1"/>
  <c r="DA139" i="1"/>
  <c r="W139" i="1"/>
  <c r="CZ139" i="1"/>
  <c r="O139" i="1"/>
  <c r="BP139" i="1"/>
  <c r="BO139" i="1"/>
  <c r="DO131" i="1"/>
  <c r="R131" i="1"/>
  <c r="Q131" i="1"/>
  <c r="DA131" i="1"/>
  <c r="W131" i="1"/>
  <c r="CZ131" i="1"/>
  <c r="O131" i="1"/>
  <c r="BP131" i="1"/>
  <c r="BO131" i="1"/>
  <c r="DO93" i="1"/>
  <c r="R93" i="1"/>
  <c r="Q93" i="1"/>
  <c r="DA93" i="1"/>
  <c r="W93" i="1"/>
  <c r="CZ93" i="1"/>
  <c r="O93" i="1"/>
  <c r="BP93" i="1"/>
  <c r="BO93" i="1"/>
  <c r="DO60" i="1"/>
  <c r="R60" i="1"/>
  <c r="Q60" i="1"/>
  <c r="DA60" i="1"/>
  <c r="W60" i="1"/>
  <c r="CZ60" i="1"/>
  <c r="O60" i="1"/>
  <c r="BP60" i="1"/>
  <c r="BO60" i="1"/>
  <c r="DO63" i="1"/>
  <c r="R63" i="1"/>
  <c r="Q63" i="1"/>
  <c r="DA63" i="1"/>
  <c r="W63" i="1"/>
  <c r="CZ63" i="1"/>
  <c r="O63" i="1"/>
  <c r="BP63" i="1"/>
  <c r="BO63" i="1"/>
  <c r="DO61" i="1"/>
  <c r="R61" i="1"/>
  <c r="Q61" i="1"/>
  <c r="DA61" i="1"/>
  <c r="W61" i="1"/>
  <c r="CZ61" i="1"/>
  <c r="O61" i="1"/>
  <c r="BP61" i="1"/>
  <c r="BO61" i="1"/>
  <c r="DO62" i="1"/>
  <c r="R62" i="1"/>
  <c r="Q62" i="1"/>
  <c r="DA62" i="1"/>
  <c r="W62" i="1"/>
  <c r="CZ62" i="1"/>
  <c r="O62" i="1"/>
  <c r="BP62" i="1"/>
  <c r="BO62" i="1"/>
  <c r="DO64" i="1"/>
  <c r="R64" i="1"/>
  <c r="Q64" i="1"/>
  <c r="DA64" i="1"/>
  <c r="W64" i="1"/>
  <c r="CZ64" i="1"/>
  <c r="O64" i="1"/>
  <c r="BP64" i="1"/>
  <c r="BO64" i="1"/>
  <c r="DO81" i="1"/>
  <c r="DG81" i="1"/>
  <c r="R81" i="1"/>
  <c r="Q81" i="1"/>
  <c r="DA81" i="1"/>
  <c r="V81" i="1"/>
  <c r="W81" i="1"/>
  <c r="CZ81" i="1"/>
  <c r="O81" i="1"/>
  <c r="CY81" i="1"/>
  <c r="BP81" i="1"/>
  <c r="BO81" i="1"/>
  <c r="DO76" i="1"/>
  <c r="DG76" i="1"/>
  <c r="R76" i="1"/>
  <c r="Q76" i="1"/>
  <c r="DA76" i="1"/>
  <c r="V76" i="1"/>
  <c r="W76" i="1"/>
  <c r="CZ76" i="1"/>
  <c r="O76" i="1"/>
  <c r="CY76" i="1"/>
  <c r="BP76" i="1"/>
  <c r="BO76" i="1"/>
  <c r="DO94" i="1"/>
  <c r="DG94" i="1"/>
  <c r="R94" i="1"/>
  <c r="Q94" i="1"/>
  <c r="DA94" i="1"/>
  <c r="V94" i="1"/>
  <c r="W94" i="1"/>
  <c r="CZ94" i="1"/>
  <c r="O94" i="1"/>
  <c r="CY94" i="1"/>
  <c r="BP94" i="1"/>
  <c r="BO94" i="1"/>
  <c r="DO12" i="1"/>
  <c r="DG12" i="1"/>
  <c r="R12" i="1"/>
  <c r="Q12" i="1"/>
  <c r="DA12" i="1"/>
  <c r="V12" i="1"/>
  <c r="W12" i="1"/>
  <c r="CZ12" i="1"/>
  <c r="O12" i="1"/>
  <c r="CY12" i="1"/>
  <c r="BP12" i="1"/>
  <c r="BO12" i="1"/>
  <c r="DO82" i="1"/>
  <c r="DG82" i="1"/>
  <c r="R82" i="1"/>
  <c r="Q82" i="1"/>
  <c r="DA82" i="1"/>
  <c r="V82" i="1"/>
  <c r="W82" i="1"/>
  <c r="CZ82" i="1"/>
  <c r="O82" i="1"/>
  <c r="CY82" i="1"/>
  <c r="BP82" i="1"/>
  <c r="BO82" i="1"/>
  <c r="DO140" i="1"/>
  <c r="DG140" i="1"/>
  <c r="R140" i="1"/>
  <c r="Q140" i="1"/>
  <c r="DA140" i="1"/>
  <c r="V140" i="1"/>
  <c r="W140" i="1"/>
  <c r="CZ140" i="1"/>
  <c r="O140" i="1"/>
  <c r="CY140" i="1"/>
  <c r="BP140" i="1"/>
  <c r="BO140" i="1"/>
  <c r="DO138" i="1"/>
  <c r="DG138" i="1"/>
  <c r="R138" i="1"/>
  <c r="Q138" i="1"/>
  <c r="DA138" i="1"/>
  <c r="V138" i="1"/>
  <c r="W138" i="1"/>
  <c r="CZ138" i="1"/>
  <c r="O138" i="1"/>
  <c r="CY138" i="1"/>
  <c r="BP138" i="1"/>
  <c r="BO138" i="1"/>
  <c r="DO132" i="1"/>
  <c r="DG132" i="1"/>
  <c r="R132" i="1"/>
  <c r="Q132" i="1"/>
  <c r="DA132" i="1"/>
  <c r="V132" i="1"/>
  <c r="W132" i="1"/>
  <c r="CZ132" i="1"/>
  <c r="O132" i="1"/>
  <c r="CY132" i="1"/>
  <c r="BP132" i="1"/>
  <c r="BO132" i="1"/>
  <c r="DO116" i="1"/>
  <c r="DG116" i="1"/>
  <c r="R116" i="1"/>
  <c r="Q116" i="1"/>
  <c r="DA116" i="1"/>
  <c r="V116" i="1"/>
  <c r="W116" i="1"/>
  <c r="CZ116" i="1"/>
  <c r="O116" i="1"/>
  <c r="CY116" i="1"/>
  <c r="BP116" i="1"/>
  <c r="BO116" i="1"/>
  <c r="DO117" i="1"/>
  <c r="DG117" i="1"/>
  <c r="R117" i="1"/>
  <c r="Q117" i="1"/>
  <c r="DA117" i="1"/>
  <c r="V117" i="1"/>
  <c r="W117" i="1"/>
  <c r="CZ117" i="1"/>
  <c r="O117" i="1"/>
  <c r="CY117" i="1"/>
  <c r="BP117" i="1"/>
  <c r="BO117" i="1"/>
  <c r="DO99" i="1"/>
  <c r="DG99" i="1"/>
  <c r="R99" i="1"/>
  <c r="Q99" i="1"/>
  <c r="DA99" i="1"/>
  <c r="V99" i="1"/>
  <c r="W99" i="1"/>
  <c r="CZ99" i="1"/>
  <c r="O99" i="1"/>
  <c r="CY99" i="1"/>
  <c r="BP99" i="1"/>
  <c r="BO99" i="1"/>
  <c r="DO57" i="1"/>
  <c r="R57" i="1"/>
  <c r="Q57" i="1"/>
  <c r="DA57" i="1"/>
  <c r="W57" i="1"/>
  <c r="CZ57" i="1"/>
  <c r="O57" i="1"/>
  <c r="BP57" i="1"/>
  <c r="BO57" i="1"/>
  <c r="DO105" i="1"/>
  <c r="DG105" i="1"/>
  <c r="R105" i="1"/>
  <c r="Q105" i="1"/>
  <c r="DA105" i="1"/>
  <c r="V105" i="1"/>
  <c r="W105" i="1"/>
  <c r="CZ105" i="1"/>
  <c r="O105" i="1"/>
  <c r="CY105" i="1"/>
  <c r="BP105" i="1"/>
  <c r="BO105" i="1"/>
  <c r="DO114" i="1"/>
  <c r="DG114" i="1"/>
  <c r="R114" i="1"/>
  <c r="Q114" i="1"/>
  <c r="DA114" i="1"/>
  <c r="V114" i="1"/>
  <c r="W114" i="1"/>
  <c r="CZ114" i="1"/>
  <c r="O114" i="1"/>
  <c r="CY114" i="1"/>
  <c r="BP114" i="1"/>
  <c r="BO114" i="1"/>
  <c r="DO87" i="1"/>
  <c r="R87" i="1"/>
  <c r="Q87" i="1"/>
  <c r="DA87" i="1"/>
  <c r="W87" i="1"/>
  <c r="CZ87" i="1"/>
  <c r="O87" i="1"/>
  <c r="BP87" i="1"/>
  <c r="BO87" i="1"/>
  <c r="DO67" i="1"/>
  <c r="R67" i="1"/>
  <c r="Q67" i="1"/>
  <c r="DA67" i="1"/>
  <c r="W67" i="1"/>
  <c r="CZ67" i="1"/>
  <c r="O67" i="1"/>
  <c r="BP67" i="1"/>
  <c r="BO67" i="1"/>
  <c r="DO104" i="1"/>
  <c r="R104" i="1"/>
  <c r="Q104" i="1"/>
  <c r="DA104" i="1"/>
  <c r="W104" i="1"/>
  <c r="CZ104" i="1"/>
  <c r="O104" i="1"/>
  <c r="BP104" i="1"/>
  <c r="BO104" i="1"/>
  <c r="DO103" i="1"/>
  <c r="R103" i="1"/>
  <c r="Q103" i="1"/>
  <c r="DA103" i="1"/>
  <c r="W103" i="1"/>
  <c r="CZ103" i="1"/>
  <c r="O103" i="1"/>
  <c r="BP103" i="1"/>
  <c r="BO103" i="1"/>
  <c r="DO8" i="1"/>
  <c r="DG8" i="1"/>
  <c r="R8" i="1"/>
  <c r="Q8" i="1"/>
  <c r="DA8" i="1"/>
  <c r="V8" i="1"/>
  <c r="W8" i="1"/>
  <c r="CZ8" i="1"/>
  <c r="O8" i="1"/>
  <c r="CY8" i="1"/>
  <c r="BP8" i="1"/>
  <c r="BO8" i="1"/>
  <c r="DO73" i="1"/>
  <c r="R73" i="1"/>
  <c r="Q73" i="1"/>
  <c r="DA73" i="1"/>
  <c r="W73" i="1"/>
  <c r="CZ73" i="1"/>
  <c r="O73" i="1"/>
  <c r="BP73" i="1"/>
  <c r="BO73" i="1"/>
  <c r="DO75" i="1"/>
  <c r="R75" i="1"/>
  <c r="Q75" i="1"/>
  <c r="DA75" i="1"/>
  <c r="W75" i="1"/>
  <c r="CZ75" i="1"/>
  <c r="O75" i="1"/>
  <c r="BP75" i="1"/>
  <c r="BO75" i="1"/>
  <c r="DO18" i="1"/>
  <c r="DG18" i="1"/>
  <c r="R18" i="1"/>
  <c r="Q18" i="1"/>
  <c r="DA18" i="1"/>
  <c r="V18" i="1"/>
  <c r="W18" i="1"/>
  <c r="CZ18" i="1"/>
  <c r="O18" i="1"/>
  <c r="CY18" i="1"/>
  <c r="BP18" i="1"/>
  <c r="BO18" i="1"/>
  <c r="DO142" i="1"/>
  <c r="R142" i="1"/>
  <c r="Q142" i="1"/>
  <c r="DA142" i="1"/>
  <c r="W142" i="1"/>
  <c r="CZ142" i="1"/>
  <c r="O142" i="1"/>
  <c r="BP142" i="1"/>
  <c r="BO142" i="1"/>
  <c r="DO79" i="1"/>
  <c r="R79" i="1"/>
  <c r="Q79" i="1"/>
  <c r="DA79" i="1"/>
  <c r="W79" i="1"/>
  <c r="CZ79" i="1"/>
  <c r="O79" i="1"/>
  <c r="BP79" i="1"/>
  <c r="BO79" i="1"/>
  <c r="DO69" i="1"/>
  <c r="R69" i="1"/>
  <c r="Q69" i="1"/>
  <c r="DA69" i="1"/>
  <c r="W69" i="1"/>
  <c r="CZ69" i="1"/>
  <c r="O69" i="1"/>
  <c r="BP69" i="1"/>
  <c r="BO69" i="1"/>
  <c r="DO107" i="1"/>
  <c r="R107" i="1"/>
  <c r="Q107" i="1"/>
  <c r="DA107" i="1"/>
  <c r="W107" i="1"/>
  <c r="CZ107" i="1"/>
  <c r="O107" i="1"/>
  <c r="BP107" i="1"/>
  <c r="BO107" i="1"/>
  <c r="DO78" i="1"/>
  <c r="R78" i="1"/>
  <c r="Q78" i="1"/>
  <c r="DA78" i="1"/>
  <c r="W78" i="1"/>
  <c r="CZ78" i="1"/>
  <c r="O78" i="1"/>
  <c r="BP78" i="1"/>
  <c r="BO78" i="1"/>
  <c r="DO115" i="1"/>
  <c r="R115" i="1"/>
  <c r="Q115" i="1"/>
  <c r="DA115" i="1"/>
  <c r="W115" i="1"/>
  <c r="CZ115" i="1"/>
  <c r="O115" i="1"/>
  <c r="BP115" i="1"/>
  <c r="BO115" i="1"/>
  <c r="DO77" i="1"/>
  <c r="R77" i="1"/>
  <c r="Q77" i="1"/>
  <c r="DA77" i="1"/>
  <c r="W77" i="1"/>
  <c r="CZ77" i="1"/>
  <c r="O77" i="1"/>
  <c r="BP77" i="1"/>
  <c r="BO77" i="1"/>
  <c r="DO122" i="1"/>
  <c r="R122" i="1"/>
  <c r="Q122" i="1"/>
  <c r="DA122" i="1"/>
  <c r="W122" i="1"/>
  <c r="CZ122" i="1"/>
  <c r="O122" i="1"/>
  <c r="BP122" i="1"/>
  <c r="BO122" i="1"/>
  <c r="DO121" i="1"/>
  <c r="R121" i="1"/>
  <c r="Q121" i="1"/>
  <c r="DA121" i="1"/>
  <c r="W121" i="1"/>
  <c r="CZ121" i="1"/>
  <c r="O121" i="1"/>
  <c r="BP121" i="1"/>
  <c r="BO121" i="1"/>
  <c r="DO120" i="1"/>
  <c r="R120" i="1"/>
  <c r="Q120" i="1"/>
  <c r="DA120" i="1"/>
  <c r="W120" i="1"/>
  <c r="CZ120" i="1"/>
  <c r="O120" i="1"/>
  <c r="BP120" i="1"/>
  <c r="BO120" i="1"/>
  <c r="DO125" i="1"/>
  <c r="DG125" i="1"/>
  <c r="R125" i="1"/>
  <c r="Q125" i="1"/>
  <c r="DA125" i="1"/>
  <c r="V125" i="1"/>
  <c r="W125" i="1"/>
  <c r="CZ125" i="1"/>
  <c r="O125" i="1"/>
  <c r="CY125" i="1"/>
  <c r="BP125" i="1"/>
  <c r="BO125" i="1"/>
  <c r="DO112" i="1"/>
  <c r="R112" i="1"/>
  <c r="Q112" i="1"/>
  <c r="DA112" i="1"/>
  <c r="W112" i="1"/>
  <c r="CZ112" i="1"/>
  <c r="O112" i="1"/>
  <c r="BP112" i="1"/>
  <c r="BO112" i="1"/>
  <c r="DO113" i="1"/>
  <c r="R113" i="1"/>
  <c r="Q113" i="1"/>
  <c r="DA113" i="1"/>
  <c r="W113" i="1"/>
  <c r="CZ113" i="1"/>
  <c r="O113" i="1"/>
  <c r="BP113" i="1"/>
  <c r="BO113" i="1"/>
  <c r="DO130" i="1"/>
  <c r="R130" i="1"/>
  <c r="Q130" i="1"/>
  <c r="DA130" i="1"/>
  <c r="W130" i="1"/>
  <c r="CZ130" i="1"/>
  <c r="O130" i="1"/>
  <c r="BP130" i="1"/>
  <c r="BO130" i="1"/>
  <c r="DO127" i="1"/>
  <c r="DG127" i="1"/>
  <c r="R127" i="1"/>
  <c r="Q127" i="1"/>
  <c r="DA127" i="1"/>
  <c r="V127" i="1"/>
  <c r="W127" i="1"/>
  <c r="CZ127" i="1"/>
  <c r="O127" i="1"/>
  <c r="CY127" i="1"/>
  <c r="BP127" i="1"/>
  <c r="BO127" i="1"/>
  <c r="DO126" i="1"/>
  <c r="DG126" i="1"/>
  <c r="R126" i="1"/>
  <c r="Q126" i="1"/>
  <c r="DA126" i="1"/>
  <c r="V126" i="1"/>
  <c r="W126" i="1"/>
  <c r="CZ126" i="1"/>
  <c r="O126" i="1"/>
  <c r="CY126" i="1"/>
  <c r="BP126" i="1"/>
  <c r="BO126" i="1"/>
  <c r="DO98" i="1"/>
  <c r="R98" i="1"/>
  <c r="Q98" i="1"/>
  <c r="DA98" i="1"/>
  <c r="W98" i="1"/>
  <c r="CZ98" i="1"/>
  <c r="O98" i="1"/>
  <c r="BP98" i="1"/>
  <c r="BO98" i="1"/>
  <c r="DO135" i="1"/>
  <c r="DG135" i="1"/>
  <c r="R135" i="1"/>
  <c r="Q135" i="1"/>
  <c r="DA135" i="1"/>
  <c r="V135" i="1"/>
  <c r="W135" i="1"/>
  <c r="CZ135" i="1"/>
  <c r="O135" i="1"/>
  <c r="CY135" i="1"/>
  <c r="BP135" i="1"/>
  <c r="BO135" i="1"/>
  <c r="DO129" i="1"/>
  <c r="DG129" i="1"/>
  <c r="R129" i="1"/>
  <c r="Q129" i="1"/>
  <c r="DA129" i="1"/>
  <c r="V129" i="1"/>
  <c r="W129" i="1"/>
  <c r="CZ129" i="1"/>
  <c r="O129" i="1"/>
  <c r="CY129" i="1"/>
  <c r="BP129" i="1"/>
  <c r="BO129" i="1"/>
  <c r="DO128" i="1"/>
  <c r="DG128" i="1"/>
  <c r="R128" i="1"/>
  <c r="Q128" i="1"/>
  <c r="DA128" i="1"/>
  <c r="V128" i="1"/>
  <c r="W128" i="1"/>
  <c r="CZ128" i="1"/>
  <c r="O128" i="1"/>
  <c r="CY128" i="1"/>
  <c r="BP128" i="1"/>
  <c r="BO128" i="1"/>
  <c r="DO124" i="1"/>
  <c r="DG124" i="1"/>
  <c r="R124" i="1"/>
  <c r="Q124" i="1"/>
  <c r="DA124" i="1"/>
  <c r="V124" i="1"/>
  <c r="W124" i="1"/>
  <c r="CZ124" i="1"/>
  <c r="O124" i="1"/>
  <c r="CY124" i="1"/>
  <c r="BP124" i="1"/>
  <c r="BO124" i="1"/>
  <c r="DO89" i="1"/>
  <c r="DG89" i="1"/>
  <c r="R89" i="1"/>
  <c r="Q89" i="1"/>
  <c r="DA89" i="1"/>
  <c r="V89" i="1"/>
  <c r="W89" i="1"/>
  <c r="CZ89" i="1"/>
  <c r="O89" i="1"/>
  <c r="CY89" i="1"/>
  <c r="BP89" i="1"/>
  <c r="BO89" i="1"/>
  <c r="DO80" i="1"/>
  <c r="DG80" i="1"/>
  <c r="R80" i="1"/>
  <c r="Q80" i="1"/>
  <c r="DA80" i="1"/>
  <c r="V80" i="1"/>
  <c r="W80" i="1"/>
  <c r="CZ80" i="1"/>
  <c r="O80" i="1"/>
  <c r="CY80" i="1"/>
  <c r="BP80" i="1"/>
  <c r="BO80" i="1"/>
  <c r="DO21" i="1"/>
  <c r="R21" i="1"/>
  <c r="Q21" i="1"/>
  <c r="DA21" i="1"/>
  <c r="W21" i="1"/>
  <c r="CZ21" i="1"/>
  <c r="O21" i="1"/>
  <c r="BP21" i="1"/>
  <c r="BO21" i="1"/>
  <c r="DO106" i="1"/>
  <c r="R106" i="1"/>
  <c r="Q106" i="1"/>
  <c r="DA106" i="1"/>
  <c r="W106" i="1"/>
  <c r="CZ106" i="1"/>
  <c r="O106" i="1"/>
  <c r="BP106" i="1"/>
  <c r="BO106" i="1"/>
  <c r="DO74" i="1"/>
  <c r="R74" i="1"/>
  <c r="Q74" i="1"/>
  <c r="DA74" i="1"/>
  <c r="W74" i="1"/>
  <c r="CZ74" i="1"/>
  <c r="O74" i="1"/>
  <c r="BP74" i="1"/>
  <c r="BO74" i="1"/>
  <c r="DO68" i="1"/>
  <c r="R68" i="1"/>
  <c r="Q68" i="1"/>
  <c r="DA68" i="1"/>
  <c r="W68" i="1"/>
  <c r="CZ68" i="1"/>
  <c r="O68" i="1"/>
  <c r="BP68" i="1"/>
  <c r="BO68" i="1"/>
  <c r="DG100" i="1"/>
  <c r="R100" i="1"/>
  <c r="Q100" i="1"/>
  <c r="DA100" i="1"/>
  <c r="V100" i="1"/>
  <c r="W100" i="1"/>
  <c r="CZ100" i="1"/>
  <c r="O100" i="1"/>
  <c r="CY100" i="1"/>
  <c r="BP100" i="1"/>
  <c r="DO66" i="1"/>
  <c r="R66" i="1"/>
  <c r="Q66" i="1"/>
  <c r="DA66" i="1"/>
  <c r="W66" i="1"/>
  <c r="CZ66" i="1"/>
  <c r="O66" i="1"/>
  <c r="BP66" i="1"/>
  <c r="BO66" i="1"/>
  <c r="DG119" i="1"/>
  <c r="R119" i="1"/>
  <c r="Q119" i="1"/>
  <c r="DA119" i="1"/>
  <c r="V119" i="1"/>
  <c r="W119" i="1"/>
  <c r="CZ119" i="1"/>
  <c r="O119" i="1"/>
  <c r="CY119" i="1"/>
  <c r="BP119" i="1"/>
  <c r="DG141" i="1"/>
  <c r="R141" i="1"/>
  <c r="Q141" i="1"/>
  <c r="DA141" i="1"/>
  <c r="V141" i="1"/>
  <c r="W141" i="1"/>
  <c r="CZ141" i="1"/>
  <c r="O141" i="1"/>
  <c r="CY141" i="1"/>
  <c r="BP141" i="1"/>
  <c r="DG101" i="1"/>
  <c r="R101" i="1"/>
  <c r="Q101" i="1"/>
  <c r="DA101" i="1"/>
  <c r="V101" i="1"/>
  <c r="W101" i="1"/>
  <c r="CZ101" i="1"/>
  <c r="O101" i="1"/>
  <c r="CY101" i="1"/>
  <c r="BP101" i="1"/>
  <c r="DO91" i="1"/>
  <c r="R91" i="1"/>
  <c r="Q91" i="1"/>
  <c r="DA91" i="1"/>
  <c r="W91" i="1"/>
  <c r="CZ91" i="1"/>
  <c r="O91" i="1"/>
  <c r="BP91" i="1"/>
  <c r="BO91" i="1"/>
  <c r="DO65" i="1"/>
  <c r="R65" i="1"/>
  <c r="Q65" i="1"/>
  <c r="DA65" i="1"/>
  <c r="W65" i="1"/>
  <c r="CZ65" i="1"/>
  <c r="O65" i="1"/>
  <c r="BP65" i="1"/>
  <c r="BO65" i="1"/>
  <c r="DG145" i="1"/>
  <c r="R145" i="1"/>
  <c r="Q145" i="1"/>
  <c r="DA145" i="1"/>
  <c r="V145" i="1"/>
  <c r="W145" i="1"/>
  <c r="CZ145" i="1"/>
  <c r="O145" i="1"/>
  <c r="CY145" i="1"/>
  <c r="BP145" i="1"/>
  <c r="DO144" i="1"/>
  <c r="R144" i="1"/>
  <c r="Q144" i="1"/>
  <c r="DA144" i="1"/>
  <c r="W144" i="1"/>
  <c r="CZ144" i="1"/>
  <c r="O144" i="1"/>
  <c r="BP144" i="1"/>
  <c r="BO144" i="1"/>
  <c r="DO118" i="1"/>
  <c r="DG118" i="1"/>
  <c r="R118" i="1"/>
  <c r="Q118" i="1"/>
  <c r="DA118" i="1"/>
  <c r="V118" i="1"/>
  <c r="W118" i="1"/>
  <c r="CZ118" i="1"/>
  <c r="O118" i="1"/>
  <c r="CY118" i="1"/>
  <c r="BP118" i="1"/>
  <c r="BO118" i="1"/>
  <c r="DO97" i="1"/>
  <c r="R97" i="1"/>
  <c r="Q97" i="1"/>
  <c r="DA97" i="1"/>
  <c r="W97" i="1"/>
  <c r="CZ97" i="1"/>
  <c r="O97" i="1"/>
  <c r="BP97" i="1"/>
  <c r="BO97" i="1"/>
  <c r="DO14" i="1"/>
  <c r="DG14" i="1"/>
  <c r="R14" i="1"/>
  <c r="Q14" i="1"/>
  <c r="DA14" i="1"/>
  <c r="V14" i="1"/>
  <c r="W14" i="1"/>
  <c r="CZ14" i="1"/>
  <c r="O14" i="1"/>
  <c r="CY14" i="1"/>
  <c r="BP14" i="1"/>
  <c r="BO14" i="1"/>
  <c r="DO52" i="1"/>
  <c r="R52" i="1"/>
  <c r="Q52" i="1"/>
  <c r="DA52" i="1"/>
  <c r="W52" i="1"/>
  <c r="CZ52" i="1"/>
  <c r="O52" i="1"/>
  <c r="BP52" i="1"/>
  <c r="BO52" i="1"/>
  <c r="DO147" i="1"/>
  <c r="R147" i="1"/>
  <c r="Q147" i="1"/>
  <c r="DA147" i="1"/>
  <c r="W147" i="1"/>
  <c r="CZ147" i="1"/>
  <c r="O147" i="1"/>
  <c r="BP147" i="1"/>
  <c r="BO147" i="1"/>
  <c r="DO146" i="1"/>
  <c r="R146" i="1"/>
  <c r="Q146" i="1"/>
  <c r="DA146" i="1"/>
  <c r="W146" i="1"/>
  <c r="CZ146" i="1"/>
  <c r="O146" i="1"/>
  <c r="BP146" i="1"/>
  <c r="BO146" i="1"/>
  <c r="DO102" i="1"/>
  <c r="R102" i="1"/>
  <c r="Q102" i="1"/>
  <c r="DA102" i="1"/>
  <c r="W102" i="1"/>
  <c r="CZ102" i="1"/>
  <c r="O102" i="1"/>
  <c r="BP102" i="1"/>
  <c r="BO102" i="1"/>
  <c r="DO92" i="1"/>
  <c r="R92" i="1"/>
  <c r="Q92" i="1"/>
  <c r="DA92" i="1"/>
  <c r="W92" i="1"/>
  <c r="CZ92" i="1"/>
  <c r="O92" i="1"/>
  <c r="BP92" i="1"/>
  <c r="BO92" i="1"/>
  <c r="DO88" i="1"/>
  <c r="R88" i="1"/>
  <c r="Q88" i="1"/>
  <c r="DA88" i="1"/>
  <c r="W88" i="1"/>
  <c r="CZ88" i="1"/>
  <c r="O88" i="1"/>
  <c r="BP88" i="1"/>
  <c r="BO88" i="1"/>
  <c r="DO85" i="1"/>
  <c r="R85" i="1"/>
  <c r="Q85" i="1"/>
  <c r="DA85" i="1"/>
  <c r="W85" i="1"/>
  <c r="CZ85" i="1"/>
  <c r="O85" i="1"/>
  <c r="BP85" i="1"/>
  <c r="BO85" i="1"/>
  <c r="DO84" i="1"/>
  <c r="R84" i="1"/>
  <c r="Q84" i="1"/>
  <c r="DA84" i="1"/>
  <c r="W84" i="1"/>
  <c r="CZ84" i="1"/>
  <c r="O84" i="1"/>
  <c r="BP84" i="1"/>
  <c r="BO84" i="1"/>
  <c r="DO111" i="1"/>
  <c r="R111" i="1"/>
  <c r="Q111" i="1"/>
  <c r="DA111" i="1"/>
  <c r="W111" i="1"/>
  <c r="CZ111" i="1"/>
  <c r="O111" i="1"/>
  <c r="BP111" i="1"/>
  <c r="BO111" i="1"/>
  <c r="DO110" i="1"/>
  <c r="R110" i="1"/>
  <c r="Q110" i="1"/>
  <c r="DA110" i="1"/>
  <c r="W110" i="1"/>
  <c r="CZ110" i="1"/>
  <c r="O110" i="1"/>
  <c r="BP110" i="1"/>
  <c r="BO110" i="1"/>
  <c r="DO59" i="1"/>
  <c r="R59" i="1"/>
  <c r="Q59" i="1"/>
  <c r="DA59" i="1"/>
  <c r="W59" i="1"/>
  <c r="CZ59" i="1"/>
  <c r="O59" i="1"/>
  <c r="BP59" i="1"/>
  <c r="BO59" i="1"/>
  <c r="DO58" i="1"/>
  <c r="R58" i="1"/>
  <c r="Q58" i="1"/>
  <c r="DA58" i="1"/>
  <c r="W58" i="1"/>
  <c r="CZ58" i="1"/>
  <c r="O58" i="1"/>
  <c r="BP58" i="1"/>
  <c r="BO58" i="1"/>
  <c r="DO55" i="1"/>
  <c r="R55" i="1"/>
  <c r="Q55" i="1"/>
  <c r="DA55" i="1"/>
  <c r="W55" i="1"/>
  <c r="CZ55" i="1"/>
  <c r="O55" i="1"/>
  <c r="BP55" i="1"/>
  <c r="BO55" i="1"/>
  <c r="DO54" i="1"/>
  <c r="R54" i="1"/>
  <c r="Q54" i="1"/>
  <c r="DA54" i="1"/>
  <c r="W54" i="1"/>
  <c r="CZ54" i="1"/>
  <c r="O54" i="1"/>
  <c r="BP54" i="1"/>
  <c r="BO54" i="1"/>
  <c r="DO53" i="1"/>
  <c r="R53" i="1"/>
  <c r="Q53" i="1"/>
  <c r="DA53" i="1"/>
  <c r="W53" i="1"/>
  <c r="CZ53" i="1"/>
  <c r="O53" i="1"/>
  <c r="BP53" i="1"/>
  <c r="BO53" i="1"/>
  <c r="DO51" i="1"/>
  <c r="R51" i="1"/>
  <c r="Q51" i="1"/>
  <c r="DA51" i="1"/>
  <c r="W51" i="1"/>
  <c r="CZ51" i="1"/>
  <c r="O51" i="1"/>
  <c r="BP51" i="1"/>
  <c r="BO51" i="1"/>
  <c r="DO50" i="1"/>
  <c r="R50" i="1"/>
  <c r="Q50" i="1"/>
  <c r="DA50" i="1"/>
  <c r="W50" i="1"/>
  <c r="CZ50" i="1"/>
  <c r="O50" i="1"/>
  <c r="BP50" i="1"/>
  <c r="BO50" i="1"/>
  <c r="DO49" i="1"/>
  <c r="R49" i="1"/>
  <c r="Q49" i="1"/>
  <c r="DA49" i="1"/>
  <c r="W49" i="1"/>
  <c r="CZ49" i="1"/>
  <c r="O49" i="1"/>
  <c r="BP49" i="1"/>
  <c r="BO49" i="1"/>
  <c r="DO48" i="1"/>
  <c r="R48" i="1"/>
  <c r="Q48" i="1"/>
  <c r="DA48" i="1"/>
  <c r="W48" i="1"/>
  <c r="CZ48" i="1"/>
  <c r="O48" i="1"/>
  <c r="BP48" i="1"/>
  <c r="BO48" i="1"/>
  <c r="DO47" i="1"/>
  <c r="R47" i="1"/>
  <c r="Q47" i="1"/>
  <c r="DA47" i="1"/>
  <c r="W47" i="1"/>
  <c r="CZ47" i="1"/>
  <c r="O47" i="1"/>
  <c r="BP47" i="1"/>
  <c r="BO47" i="1"/>
  <c r="DO46" i="1"/>
  <c r="R46" i="1"/>
  <c r="Q46" i="1"/>
  <c r="DA46" i="1"/>
  <c r="W46" i="1"/>
  <c r="CZ46" i="1"/>
  <c r="O46" i="1"/>
  <c r="BP46" i="1"/>
  <c r="BO46" i="1"/>
  <c r="DO45" i="1"/>
  <c r="R45" i="1"/>
  <c r="Q45" i="1"/>
  <c r="DA45" i="1"/>
  <c r="W45" i="1"/>
  <c r="CZ45" i="1"/>
  <c r="O45" i="1"/>
  <c r="BP45" i="1"/>
  <c r="BO45" i="1"/>
  <c r="DO44" i="1"/>
  <c r="R44" i="1"/>
  <c r="Q44" i="1"/>
  <c r="DA44" i="1"/>
  <c r="W44" i="1"/>
  <c r="CZ44" i="1"/>
  <c r="O44" i="1"/>
  <c r="BP44" i="1"/>
  <c r="BO44" i="1"/>
  <c r="DO43" i="1"/>
  <c r="R43" i="1"/>
  <c r="Q43" i="1"/>
  <c r="DA43" i="1"/>
  <c r="W43" i="1"/>
  <c r="CZ43" i="1"/>
  <c r="O43" i="1"/>
  <c r="BP43" i="1"/>
  <c r="BO43" i="1"/>
  <c r="DO42" i="1"/>
  <c r="R42" i="1"/>
  <c r="Q42" i="1"/>
  <c r="DA42" i="1"/>
  <c r="W42" i="1"/>
  <c r="CZ42" i="1"/>
  <c r="O42" i="1"/>
  <c r="BP42" i="1"/>
  <c r="BO42" i="1"/>
  <c r="DO41" i="1"/>
  <c r="R41" i="1"/>
  <c r="Q41" i="1"/>
  <c r="DA41" i="1"/>
  <c r="W41" i="1"/>
  <c r="CZ41" i="1"/>
  <c r="O41" i="1"/>
  <c r="BP41" i="1"/>
  <c r="BO41" i="1"/>
  <c r="DO39" i="1"/>
  <c r="R39" i="1"/>
  <c r="Q39" i="1"/>
  <c r="DA39" i="1"/>
  <c r="W39" i="1"/>
  <c r="CZ39" i="1"/>
  <c r="O39" i="1"/>
  <c r="BP39" i="1"/>
  <c r="BO39" i="1"/>
  <c r="DO38" i="1"/>
  <c r="R38" i="1"/>
  <c r="Q38" i="1"/>
  <c r="DA38" i="1"/>
  <c r="W38" i="1"/>
  <c r="CZ38" i="1"/>
  <c r="O38" i="1"/>
  <c r="BP38" i="1"/>
  <c r="BO38" i="1"/>
  <c r="DO37" i="1"/>
  <c r="R37" i="1"/>
  <c r="Q37" i="1"/>
  <c r="DA37" i="1"/>
  <c r="W37" i="1"/>
  <c r="CZ37" i="1"/>
  <c r="O37" i="1"/>
  <c r="BP37" i="1"/>
  <c r="BO37" i="1"/>
  <c r="DO35" i="1"/>
  <c r="R35" i="1"/>
  <c r="Q35" i="1"/>
  <c r="DA35" i="1"/>
  <c r="W35" i="1"/>
  <c r="CZ35" i="1"/>
  <c r="O35" i="1"/>
  <c r="BP35" i="1"/>
  <c r="BO35" i="1"/>
  <c r="DO34" i="1"/>
  <c r="R34" i="1"/>
  <c r="Q34" i="1"/>
  <c r="DA34" i="1"/>
  <c r="W34" i="1"/>
  <c r="CZ34" i="1"/>
  <c r="O34" i="1"/>
  <c r="BP34" i="1"/>
  <c r="BO34" i="1"/>
  <c r="DO33" i="1"/>
  <c r="R33" i="1"/>
  <c r="Q33" i="1"/>
  <c r="DA33" i="1"/>
  <c r="W33" i="1"/>
  <c r="CZ33" i="1"/>
  <c r="O33" i="1"/>
  <c r="BP33" i="1"/>
  <c r="BO33" i="1"/>
  <c r="DO32" i="1"/>
  <c r="R32" i="1"/>
  <c r="Q32" i="1"/>
  <c r="DA32" i="1"/>
  <c r="W32" i="1"/>
  <c r="CZ32" i="1"/>
  <c r="O32" i="1"/>
  <c r="BP32" i="1"/>
  <c r="BO32" i="1"/>
  <c r="DO31" i="1"/>
  <c r="R31" i="1"/>
  <c r="Q31" i="1"/>
  <c r="DA31" i="1"/>
  <c r="W31" i="1"/>
  <c r="CZ31" i="1"/>
  <c r="O31" i="1"/>
  <c r="BP31" i="1"/>
  <c r="BO31" i="1"/>
  <c r="DO30" i="1"/>
  <c r="R30" i="1"/>
  <c r="Q30" i="1"/>
  <c r="DA30" i="1"/>
  <c r="W30" i="1"/>
  <c r="CZ30" i="1"/>
  <c r="O30" i="1"/>
  <c r="BP30" i="1"/>
  <c r="BO30" i="1"/>
  <c r="DO29" i="1"/>
  <c r="R29" i="1"/>
  <c r="Q29" i="1"/>
  <c r="DA29" i="1"/>
  <c r="W29" i="1"/>
  <c r="CZ29" i="1"/>
  <c r="O29" i="1"/>
  <c r="BP29" i="1"/>
  <c r="BO29" i="1"/>
  <c r="DO28" i="1"/>
  <c r="R28" i="1"/>
  <c r="Q28" i="1"/>
  <c r="DA28" i="1"/>
  <c r="W28" i="1"/>
  <c r="CZ28" i="1"/>
  <c r="O28" i="1"/>
  <c r="BP28" i="1"/>
  <c r="BO28" i="1"/>
  <c r="DO27" i="1"/>
  <c r="R27" i="1"/>
  <c r="Q27" i="1"/>
  <c r="DA27" i="1"/>
  <c r="W27" i="1"/>
  <c r="CZ27" i="1"/>
  <c r="O27" i="1"/>
  <c r="BP27" i="1"/>
  <c r="BO27" i="1"/>
  <c r="DO26" i="1"/>
  <c r="R26" i="1"/>
  <c r="Q26" i="1"/>
  <c r="DA26" i="1"/>
  <c r="W26" i="1"/>
  <c r="CZ26" i="1"/>
  <c r="O26" i="1"/>
  <c r="BP26" i="1"/>
  <c r="BO26" i="1"/>
  <c r="DO25" i="1"/>
  <c r="R25" i="1"/>
  <c r="Q25" i="1"/>
  <c r="DA25" i="1"/>
  <c r="W25" i="1"/>
  <c r="CZ25" i="1"/>
  <c r="O25" i="1"/>
  <c r="BP25" i="1"/>
  <c r="BO25" i="1"/>
  <c r="DO16" i="1"/>
  <c r="R16" i="1"/>
  <c r="Q16" i="1"/>
  <c r="DA16" i="1"/>
  <c r="W16" i="1"/>
  <c r="CZ16" i="1"/>
  <c r="O16" i="1"/>
  <c r="BP16" i="1"/>
  <c r="BO16" i="1"/>
  <c r="DO15" i="1"/>
  <c r="R15" i="1"/>
  <c r="Q15" i="1"/>
  <c r="DA15" i="1"/>
  <c r="W15" i="1"/>
  <c r="CZ15" i="1"/>
  <c r="O15" i="1"/>
  <c r="BP15" i="1"/>
  <c r="BO15" i="1"/>
  <c r="DO10" i="1"/>
  <c r="R10" i="1"/>
  <c r="Q10" i="1"/>
  <c r="DA10" i="1"/>
  <c r="W10" i="1"/>
  <c r="CZ10" i="1"/>
  <c r="O10" i="1"/>
  <c r="BP10" i="1"/>
  <c r="BO10" i="1"/>
  <c r="DO2" i="1"/>
  <c r="DG2" i="1"/>
  <c r="R2" i="1"/>
  <c r="Q2" i="1"/>
  <c r="DA2" i="1"/>
  <c r="V2" i="1"/>
  <c r="W2" i="1"/>
  <c r="CZ2" i="1"/>
  <c r="O2" i="1"/>
  <c r="CY2" i="1"/>
  <c r="BP2" i="1"/>
  <c r="BO2" i="1"/>
  <c r="DO3" i="1"/>
  <c r="DG3" i="1"/>
  <c r="R3" i="1"/>
  <c r="Q3" i="1"/>
  <c r="DA3" i="1"/>
  <c r="V3" i="1"/>
  <c r="W3" i="1"/>
  <c r="CZ3" i="1"/>
  <c r="O3" i="1"/>
  <c r="CY3" i="1"/>
  <c r="BP3" i="1"/>
  <c r="BO3" i="1"/>
  <c r="DO5" i="1"/>
  <c r="DG5" i="1"/>
  <c r="R5" i="1"/>
  <c r="Q5" i="1"/>
  <c r="DA5" i="1"/>
  <c r="V5" i="1"/>
  <c r="W5" i="1"/>
  <c r="CZ5" i="1"/>
  <c r="O5" i="1"/>
  <c r="CY5" i="1"/>
  <c r="BP5" i="1"/>
  <c r="BO5" i="1"/>
  <c r="DO6" i="1"/>
  <c r="DG6" i="1"/>
  <c r="R6" i="1"/>
  <c r="Q6" i="1"/>
  <c r="DA6" i="1"/>
  <c r="V6" i="1"/>
  <c r="W6" i="1"/>
  <c r="CZ6" i="1"/>
  <c r="O6" i="1"/>
  <c r="CY6" i="1"/>
  <c r="BP6" i="1"/>
  <c r="BO6" i="1"/>
  <c r="DO7" i="1"/>
  <c r="DG7" i="1"/>
  <c r="R7" i="1"/>
  <c r="Q7" i="1"/>
  <c r="DA7" i="1"/>
  <c r="V7" i="1"/>
  <c r="W7" i="1"/>
  <c r="CZ7" i="1"/>
  <c r="O7" i="1"/>
  <c r="CY7" i="1"/>
  <c r="BP7" i="1"/>
  <c r="BO7" i="1"/>
  <c r="DO11" i="1"/>
  <c r="DG11" i="1"/>
  <c r="R11" i="1"/>
  <c r="Q11" i="1"/>
  <c r="DA11" i="1"/>
  <c r="V11" i="1"/>
  <c r="W11" i="1"/>
  <c r="CZ11" i="1"/>
  <c r="O11" i="1"/>
  <c r="CY11" i="1"/>
  <c r="BP11" i="1"/>
  <c r="BO11" i="1"/>
  <c r="DO13" i="1"/>
  <c r="DG13" i="1"/>
  <c r="R13" i="1"/>
  <c r="Q13" i="1"/>
  <c r="DA13" i="1"/>
  <c r="V13" i="1"/>
  <c r="W13" i="1"/>
  <c r="CZ13" i="1"/>
  <c r="O13" i="1"/>
  <c r="CY13" i="1"/>
  <c r="BP13" i="1"/>
  <c r="BO13" i="1"/>
  <c r="DO20" i="1"/>
  <c r="DG20" i="1"/>
  <c r="R20" i="1"/>
  <c r="Q20" i="1"/>
  <c r="DA20" i="1"/>
  <c r="V20" i="1"/>
  <c r="W20" i="1"/>
  <c r="CZ20" i="1"/>
  <c r="O20" i="1"/>
  <c r="CY20" i="1"/>
  <c r="BP20" i="1"/>
  <c r="BO20" i="1"/>
  <c r="DO22" i="1"/>
  <c r="DG22" i="1"/>
  <c r="R22" i="1"/>
  <c r="Q22" i="1"/>
  <c r="DA22" i="1"/>
  <c r="V22" i="1"/>
  <c r="W22" i="1"/>
  <c r="CZ22" i="1"/>
  <c r="O22" i="1"/>
  <c r="CY22" i="1"/>
  <c r="BP22" i="1"/>
  <c r="BO22" i="1"/>
  <c r="DO23" i="1"/>
  <c r="DG23" i="1"/>
  <c r="R23" i="1"/>
  <c r="Q23" i="1"/>
  <c r="DA23" i="1"/>
  <c r="V23" i="1"/>
  <c r="W23" i="1"/>
  <c r="CZ23" i="1"/>
  <c r="O23" i="1"/>
  <c r="CY23" i="1"/>
  <c r="BP23" i="1"/>
  <c r="BO23" i="1"/>
  <c r="DO24" i="1"/>
  <c r="DG24" i="1"/>
  <c r="R24" i="1"/>
  <c r="Q24" i="1"/>
  <c r="DA24" i="1"/>
  <c r="V24" i="1"/>
  <c r="W24" i="1"/>
  <c r="CZ24" i="1"/>
  <c r="O24" i="1"/>
  <c r="CY24" i="1"/>
  <c r="BP24" i="1"/>
  <c r="BO24" i="1"/>
  <c r="DO36" i="1"/>
  <c r="DG36" i="1"/>
  <c r="R36" i="1"/>
  <c r="Q36" i="1"/>
  <c r="DA36" i="1"/>
  <c r="V36" i="1"/>
  <c r="W36" i="1"/>
  <c r="CZ36" i="1"/>
  <c r="O36" i="1"/>
  <c r="CY36" i="1"/>
  <c r="BP36" i="1"/>
  <c r="BO36" i="1"/>
  <c r="DO40" i="1"/>
  <c r="DG40" i="1"/>
  <c r="R40" i="1"/>
  <c r="Q40" i="1"/>
  <c r="DA40" i="1"/>
  <c r="V40" i="1"/>
  <c r="W40" i="1"/>
  <c r="CZ40" i="1"/>
  <c r="O40" i="1"/>
  <c r="CY40" i="1"/>
  <c r="BP40" i="1"/>
  <c r="BO40" i="1"/>
  <c r="DO70" i="1"/>
  <c r="DG70" i="1"/>
  <c r="R70" i="1"/>
  <c r="Q70" i="1"/>
  <c r="DA70" i="1"/>
  <c r="V70" i="1"/>
  <c r="W70" i="1"/>
  <c r="CZ70" i="1"/>
  <c r="O70" i="1"/>
  <c r="CY70" i="1"/>
  <c r="BP70" i="1"/>
  <c r="BO70" i="1"/>
  <c r="DO71" i="1"/>
  <c r="DG71" i="1"/>
  <c r="R71" i="1"/>
  <c r="Q71" i="1"/>
  <c r="DA71" i="1"/>
  <c r="V71" i="1"/>
  <c r="W71" i="1"/>
  <c r="CZ71" i="1"/>
  <c r="O71" i="1"/>
  <c r="CY71" i="1"/>
  <c r="BP71" i="1"/>
  <c r="BO71" i="1"/>
  <c r="DO72" i="1"/>
  <c r="DG72" i="1"/>
  <c r="R72" i="1"/>
  <c r="Q72" i="1"/>
  <c r="DA72" i="1"/>
  <c r="V72" i="1"/>
  <c r="W72" i="1"/>
  <c r="CZ72" i="1"/>
  <c r="O72" i="1"/>
  <c r="CY72" i="1"/>
  <c r="BP72" i="1"/>
  <c r="BO72" i="1"/>
  <c r="DG83" i="1"/>
  <c r="R83" i="1"/>
  <c r="Q83" i="1"/>
  <c r="DA83" i="1"/>
  <c r="V83" i="1"/>
  <c r="W83" i="1"/>
  <c r="CZ83" i="1"/>
  <c r="O83" i="1"/>
  <c r="CY83" i="1"/>
  <c r="BP83" i="1"/>
</calcChain>
</file>

<file path=xl/sharedStrings.xml><?xml version="1.0" encoding="utf-8"?>
<sst xmlns="http://schemas.openxmlformats.org/spreadsheetml/2006/main" count="11862" uniqueCount="795">
  <si>
    <t>資産ID</t>
  </si>
  <si>
    <t>資産名</t>
  </si>
  <si>
    <t>資産負債番号</t>
  </si>
  <si>
    <t>資産負債枝番</t>
  </si>
  <si>
    <t>資産負債履歴番号</t>
  </si>
  <si>
    <t>他台帳区分</t>
  </si>
  <si>
    <t>他台帳番号</t>
  </si>
  <si>
    <t>他台帳枝番</t>
  </si>
  <si>
    <t>資産名称</t>
  </si>
  <si>
    <t>資産負債区分</t>
  </si>
  <si>
    <t>資産負債内訳区分</t>
  </si>
  <si>
    <t>施設コード</t>
  </si>
  <si>
    <t>目的別資産区分</t>
  </si>
  <si>
    <t>勘定科目区分</t>
  </si>
  <si>
    <t>勘定科目連番</t>
  </si>
  <si>
    <t>勘定科目枝番</t>
  </si>
  <si>
    <t>所属コード</t>
  </si>
  <si>
    <t>執行課</t>
  </si>
  <si>
    <t>取得年月日</t>
  </si>
  <si>
    <t>完成日</t>
  </si>
  <si>
    <t>供用開始年月日</t>
  </si>
  <si>
    <t>供用開始回数</t>
  </si>
  <si>
    <t>売却予定日</t>
  </si>
  <si>
    <t>登録年月日</t>
  </si>
  <si>
    <t>用途</t>
  </si>
  <si>
    <t>廃止フラグ</t>
  </si>
  <si>
    <t>所有割合</t>
  </si>
  <si>
    <t>郵便番号</t>
  </si>
  <si>
    <t>都道府県コード</t>
  </si>
  <si>
    <t>自治体コード</t>
  </si>
  <si>
    <t>大字通称コード</t>
  </si>
  <si>
    <t>字丁目コード</t>
  </si>
  <si>
    <t>都道府県名称</t>
  </si>
  <si>
    <t>市区郡町村名称</t>
  </si>
  <si>
    <t>大字通称名称</t>
  </si>
  <si>
    <t>所在地</t>
  </si>
  <si>
    <t>番地</t>
  </si>
  <si>
    <t>方書</t>
  </si>
  <si>
    <t>設置場所</t>
  </si>
  <si>
    <t>設計書番号</t>
  </si>
  <si>
    <t>管理番号等</t>
  </si>
  <si>
    <t>緯度</t>
  </si>
  <si>
    <t>経度</t>
  </si>
  <si>
    <t>資産計上区分</t>
  </si>
  <si>
    <t>資産登録区分</t>
  </si>
  <si>
    <t>所有関係区分</t>
  </si>
  <si>
    <t>財産区分</t>
  </si>
  <si>
    <t>未利用財産</t>
  </si>
  <si>
    <t>売却可能区分</t>
  </si>
  <si>
    <t>売却可能ランク</t>
  </si>
  <si>
    <t>仕訳帳反映フラグ</t>
  </si>
  <si>
    <t>財産調書分類</t>
  </si>
  <si>
    <t>取込ファイル名</t>
  </si>
  <si>
    <t>異動年度</t>
  </si>
  <si>
    <t>異動年月日</t>
  </si>
  <si>
    <t>異動事由コード</t>
  </si>
  <si>
    <t>異動事由コード（変換元）</t>
  </si>
  <si>
    <t>異動内訳区分</t>
  </si>
  <si>
    <t>数量(異動数量)</t>
  </si>
  <si>
    <t>異動増減額</t>
  </si>
  <si>
    <t>団体コード</t>
  </si>
  <si>
    <t>会計</t>
  </si>
  <si>
    <t>予算科目（款）</t>
  </si>
  <si>
    <t>予算科目（項）</t>
  </si>
  <si>
    <t>予算科目（目）</t>
  </si>
  <si>
    <t>予算科目（事業１）</t>
  </si>
  <si>
    <t>予算科目（事業２）</t>
  </si>
  <si>
    <t>予算科目（事業３）</t>
  </si>
  <si>
    <t>予算科目（事業４）</t>
  </si>
  <si>
    <t>予算科目（事業５）</t>
  </si>
  <si>
    <t>伝票番号</t>
  </si>
  <si>
    <t>伝票枝番</t>
  </si>
  <si>
    <t>相手番号</t>
  </si>
  <si>
    <t>相手枝番</t>
  </si>
  <si>
    <t>相手コード</t>
  </si>
  <si>
    <t>事業分類</t>
  </si>
  <si>
    <t>取得財源内訳</t>
  </si>
  <si>
    <t>建設仮勘定番号</t>
  </si>
  <si>
    <t>建設仮勘定枝番</t>
  </si>
  <si>
    <t>建設仮勘定履歴番号</t>
  </si>
  <si>
    <t>資産評価区分</t>
  </si>
  <si>
    <t>資産評価方法</t>
  </si>
  <si>
    <t>単価ID</t>
  </si>
  <si>
    <t>資産評価概要</t>
  </si>
  <si>
    <t>償却開始年月日</t>
  </si>
  <si>
    <t>償却対象区分</t>
  </si>
  <si>
    <t>償却開始区分</t>
  </si>
  <si>
    <t>備忘価額区分</t>
  </si>
  <si>
    <t>中古区分</t>
  </si>
  <si>
    <t>減価償却計算</t>
  </si>
  <si>
    <t>減価償却率</t>
  </si>
  <si>
    <t>耐用年数大分類</t>
  </si>
  <si>
    <t>耐用年数中分類</t>
  </si>
  <si>
    <t>耐用年数小分類</t>
  </si>
  <si>
    <t>耐用年数</t>
  </si>
  <si>
    <t>稼働年数</t>
  </si>
  <si>
    <t>単価</t>
  </si>
  <si>
    <t>数量</t>
  </si>
  <si>
    <t>単位</t>
  </si>
  <si>
    <t>時価等</t>
  </si>
  <si>
    <t>減価償却累計額</t>
  </si>
  <si>
    <t>減価償却年額</t>
  </si>
  <si>
    <t>異動前簿価</t>
  </si>
  <si>
    <t>簿価</t>
  </si>
  <si>
    <t>開始取得価額等</t>
  </si>
  <si>
    <t>供用開始額</t>
  </si>
  <si>
    <t>現況地目</t>
  </si>
  <si>
    <t>地区</t>
  </si>
  <si>
    <t>路線番号</t>
  </si>
  <si>
    <t>登記地目</t>
  </si>
  <si>
    <t>登記面積</t>
  </si>
  <si>
    <t>登記日</t>
  </si>
  <si>
    <t>評価地目</t>
  </si>
  <si>
    <t>構造</t>
  </si>
  <si>
    <t>屋根</t>
  </si>
  <si>
    <t>地上階数</t>
  </si>
  <si>
    <t>地下階数</t>
  </si>
  <si>
    <t>建面積</t>
  </si>
  <si>
    <t>分類</t>
  </si>
  <si>
    <t>重要区分</t>
  </si>
  <si>
    <t>種目</t>
  </si>
  <si>
    <t>権利</t>
  </si>
  <si>
    <t>樹齢</t>
  </si>
  <si>
    <t>幅員</t>
  </si>
  <si>
    <t>財産番号（旧）</t>
  </si>
  <si>
    <t>明細番号（旧）</t>
  </si>
  <si>
    <t>自由入力３</t>
  </si>
  <si>
    <t>自由入力４</t>
  </si>
  <si>
    <t>自由入力５</t>
  </si>
  <si>
    <t>自由入力６</t>
  </si>
  <si>
    <t>自由入力７</t>
  </si>
  <si>
    <t>自由入力８</t>
  </si>
  <si>
    <t>自由入力９</t>
  </si>
  <si>
    <t>自由入力１０</t>
  </si>
  <si>
    <t>自由入力１１</t>
  </si>
  <si>
    <t>自由入力１２</t>
  </si>
  <si>
    <t>自由入力１３</t>
  </si>
  <si>
    <t>自由入力１４</t>
  </si>
  <si>
    <t>自由入力１５</t>
  </si>
  <si>
    <t>自由入力１６</t>
  </si>
  <si>
    <t>自由入力１７</t>
  </si>
  <si>
    <t>自由入力１８</t>
  </si>
  <si>
    <t>自由入力１９</t>
  </si>
  <si>
    <t>自由入力２０</t>
  </si>
  <si>
    <t>自由入力２１</t>
  </si>
  <si>
    <t>自由入力２２</t>
  </si>
  <si>
    <t>自由入力２３</t>
  </si>
  <si>
    <t>自由入力２４</t>
  </si>
  <si>
    <t>自由入力２５</t>
  </si>
  <si>
    <t>自由入力２６</t>
  </si>
  <si>
    <t>自由入力２７</t>
  </si>
  <si>
    <t>自由入力２８</t>
  </si>
  <si>
    <t>自由入力２９</t>
  </si>
  <si>
    <t>自由入力３０</t>
  </si>
  <si>
    <t>自由入力３１</t>
  </si>
  <si>
    <t>自由入力３２</t>
  </si>
  <si>
    <t>自由入力３３</t>
  </si>
  <si>
    <t>自由入力３４</t>
  </si>
  <si>
    <t>自由入力３５</t>
  </si>
  <si>
    <t>自由入力３６</t>
  </si>
  <si>
    <t>自由入力３７</t>
  </si>
  <si>
    <t>自由入力３８</t>
  </si>
  <si>
    <t>自由入力３９</t>
  </si>
  <si>
    <t>自由入力４０</t>
  </si>
  <si>
    <t>自由入力４１</t>
  </si>
  <si>
    <t>自由入力４２</t>
  </si>
  <si>
    <t>自由入力４３</t>
  </si>
  <si>
    <t>自由入力４４</t>
  </si>
  <si>
    <t>自由入力４５</t>
  </si>
  <si>
    <t>自由入力４６</t>
  </si>
  <si>
    <t>自由入力４７</t>
  </si>
  <si>
    <t>自由入力４８</t>
  </si>
  <si>
    <t>自由入力４９</t>
  </si>
  <si>
    <t>自由入力５０</t>
  </si>
  <si>
    <t>自由入力５１</t>
  </si>
  <si>
    <t>自由入力５２</t>
  </si>
  <si>
    <t>自由入力５３</t>
  </si>
  <si>
    <t>自由入力５４</t>
  </si>
  <si>
    <t>自由入力５５</t>
  </si>
  <si>
    <t>自由入力５６</t>
  </si>
  <si>
    <t>自由入力５７</t>
  </si>
  <si>
    <t>自由入力５８</t>
  </si>
  <si>
    <t>自由入力５９</t>
  </si>
  <si>
    <t>自由入力６０</t>
  </si>
  <si>
    <t>自由入力６１</t>
  </si>
  <si>
    <t>自由入力６２</t>
  </si>
  <si>
    <t>自由入力６３</t>
  </si>
  <si>
    <t>自由入力６４</t>
  </si>
  <si>
    <t>自由入力６５</t>
  </si>
  <si>
    <t>自由入力６６</t>
  </si>
  <si>
    <t>自由入力６７</t>
  </si>
  <si>
    <t>自由入力６８</t>
  </si>
  <si>
    <t>自由入力６９</t>
  </si>
  <si>
    <t>自由入力７０</t>
  </si>
  <si>
    <t>追加項目１</t>
  </si>
  <si>
    <t>追加項目２</t>
  </si>
  <si>
    <t>追加項目３</t>
  </si>
  <si>
    <t>追加項目４</t>
  </si>
  <si>
    <t>追加項目５</t>
  </si>
  <si>
    <t>追加項目６</t>
  </si>
  <si>
    <t>追加項目７</t>
  </si>
  <si>
    <t>追加項目８</t>
  </si>
  <si>
    <t>追加項目９</t>
  </si>
  <si>
    <t>追加項目１０</t>
  </si>
  <si>
    <t>追加項目１１</t>
  </si>
  <si>
    <t>追加項目１２</t>
  </si>
  <si>
    <t>追加項目１３</t>
  </si>
  <si>
    <t>追加項目１４</t>
  </si>
  <si>
    <t>追加項目１５</t>
  </si>
  <si>
    <t>追加項目１６</t>
  </si>
  <si>
    <t>追加項目１７</t>
  </si>
  <si>
    <t>追加項目１８</t>
  </si>
  <si>
    <t>追加項目１９</t>
  </si>
  <si>
    <t>追加項目２０</t>
  </si>
  <si>
    <t>追加項目２１</t>
  </si>
  <si>
    <t>追加項目２２</t>
  </si>
  <si>
    <t>追加項目２３</t>
  </si>
  <si>
    <t>追加項目２４</t>
  </si>
  <si>
    <t>追加項目２５</t>
  </si>
  <si>
    <t>追加項目２６</t>
  </si>
  <si>
    <t>追加項目２７</t>
  </si>
  <si>
    <t>追加項目２８</t>
  </si>
  <si>
    <t>追加項目２９</t>
  </si>
  <si>
    <t>追加項目３０</t>
  </si>
  <si>
    <t>耐震診断状況(建物)</t>
  </si>
  <si>
    <t>耐震化状況(建物)</t>
  </si>
  <si>
    <t>長寿命化履歴</t>
  </si>
  <si>
    <t>複合化状況</t>
  </si>
  <si>
    <t>利用者数(件数)</t>
  </si>
  <si>
    <t>稼働率</t>
  </si>
  <si>
    <t>運営方式</t>
  </si>
  <si>
    <t>運営時間</t>
  </si>
  <si>
    <t>職員人数</t>
  </si>
  <si>
    <t>ランニングコスト</t>
  </si>
  <si>
    <t>第１資産負債属性情報</t>
  </si>
  <si>
    <t>第２資産負債属性情報</t>
  </si>
  <si>
    <t>第３資産負債属性情報</t>
  </si>
  <si>
    <t>第４資産負債属性情報</t>
  </si>
  <si>
    <t>第５資産負債属性情報</t>
  </si>
  <si>
    <t>建物明細一覧</t>
  </si>
  <si>
    <t>02:公有財産建物台帳</t>
  </si>
  <si>
    <t/>
  </si>
  <si>
    <t>0:その他</t>
  </si>
  <si>
    <t>1900/01/01</t>
  </si>
  <si>
    <t>2016/03/31</t>
  </si>
  <si>
    <t>0:通常</t>
  </si>
  <si>
    <t>100</t>
  </si>
  <si>
    <t>0:計上対象</t>
  </si>
  <si>
    <t>0:自己資産</t>
  </si>
  <si>
    <t>1:行政財産</t>
  </si>
  <si>
    <t>0:売却不可資産</t>
  </si>
  <si>
    <t>2018</t>
  </si>
  <si>
    <t>2019/03/31</t>
  </si>
  <si>
    <t>25:訂正</t>
  </si>
  <si>
    <t>3103:運用開始時</t>
  </si>
  <si>
    <t>001</t>
  </si>
  <si>
    <t>01</t>
  </si>
  <si>
    <t>2:再調達原価</t>
  </si>
  <si>
    <t>0:個別評価</t>
  </si>
  <si>
    <t>1900/04/01</t>
  </si>
  <si>
    <t>0:償却対象</t>
  </si>
  <si>
    <t>0:翌年度から開始</t>
  </si>
  <si>
    <t>1:一円残しする</t>
  </si>
  <si>
    <t>5:倉庫・物置</t>
  </si>
  <si>
    <t>11:軽量鉄骨造</t>
  </si>
  <si>
    <t>24</t>
  </si>
  <si>
    <t>116</t>
  </si>
  <si>
    <t>01:平方メートル</t>
  </si>
  <si>
    <t>1</t>
  </si>
  <si>
    <t>0</t>
  </si>
  <si>
    <t>7:総務（総務）</t>
  </si>
  <si>
    <t>0.0000000000</t>
  </si>
  <si>
    <t>1:開始資産</t>
  </si>
  <si>
    <t>2021</t>
  </si>
  <si>
    <t>2022/03/31</t>
  </si>
  <si>
    <t>11:減価償却</t>
  </si>
  <si>
    <t>1:取得価額等</t>
  </si>
  <si>
    <t>1997/04/01</t>
  </si>
  <si>
    <t>0:新規資産</t>
  </si>
  <si>
    <t>2:鉄筋コンクリート</t>
  </si>
  <si>
    <t>50</t>
  </si>
  <si>
    <t>3</t>
  </si>
  <si>
    <t>6</t>
  </si>
  <si>
    <t>1975/04/01</t>
  </si>
  <si>
    <t>1999/04/01</t>
  </si>
  <si>
    <t>22</t>
  </si>
  <si>
    <t>2008/03/31</t>
  </si>
  <si>
    <t>2008/04/01</t>
  </si>
  <si>
    <t>13</t>
  </si>
  <si>
    <t>2</t>
  </si>
  <si>
    <t>99:その他</t>
  </si>
  <si>
    <t>トイレ改修</t>
  </si>
  <si>
    <t>42:インフラ資産／建物</t>
  </si>
  <si>
    <t>001552:長沼フートピア公園</t>
  </si>
  <si>
    <t>1015150000:観光シティプロモーション課</t>
  </si>
  <si>
    <t>2020/03/27</t>
  </si>
  <si>
    <t>迫町北方字天形161-84</t>
  </si>
  <si>
    <t>2020/04/01</t>
  </si>
  <si>
    <t>1220000:インフラ／建物</t>
  </si>
  <si>
    <t>28:便所</t>
  </si>
  <si>
    <t>38</t>
  </si>
  <si>
    <t>0210001</t>
  </si>
  <si>
    <t>20</t>
  </si>
  <si>
    <t>AsyzAP PPP元キー:00000002-0000001167-1</t>
  </si>
  <si>
    <t>4</t>
  </si>
  <si>
    <t>トイレ</t>
  </si>
  <si>
    <t>1:生活インフラ・国土保全（生活インフラ・国土保全）</t>
  </si>
  <si>
    <t>1997/03/31</t>
  </si>
  <si>
    <t>便所</t>
  </si>
  <si>
    <t>AsyzAP便所 PPP元キー:00000002-0000001150-1</t>
  </si>
  <si>
    <t>7</t>
  </si>
  <si>
    <t>AsyzAP便所 PPP元キー:00000002-0000001149-1</t>
  </si>
  <si>
    <t>駐車場トイレ</t>
  </si>
  <si>
    <t>便所　旧面積：51.84　</t>
  </si>
  <si>
    <t>AsyzAP便所　旧面積：51.84 PPP元キー:00000002-0000001148-1</t>
  </si>
  <si>
    <t>8</t>
  </si>
  <si>
    <t>001513:中田曲袋農村公園</t>
  </si>
  <si>
    <t>1040300000:住宅都市整備課</t>
  </si>
  <si>
    <t>2007/03/31</t>
  </si>
  <si>
    <t>中田町浅水字曲袋南4-・5</t>
  </si>
  <si>
    <t>2007/04/01</t>
  </si>
  <si>
    <t>12:木造</t>
  </si>
  <si>
    <t>15</t>
  </si>
  <si>
    <t>14</t>
  </si>
  <si>
    <t>0190019</t>
  </si>
  <si>
    <t>AsyzAP便所 PPP元キー:00000002-0000001117-1</t>
  </si>
  <si>
    <t>001509:中田石森長根公園</t>
  </si>
  <si>
    <t>2016/02/12</t>
  </si>
  <si>
    <t>中田町石森字長根66-1-・小倉253-1・西小倉1-1</t>
  </si>
  <si>
    <t>2016/04/01</t>
  </si>
  <si>
    <t>5</t>
  </si>
  <si>
    <t>0190015</t>
  </si>
  <si>
    <t>AsyzAP便所 PPP元キー:00000002-0000001113-1</t>
  </si>
  <si>
    <t>001491:佐沼墓園</t>
  </si>
  <si>
    <t>迫町佐沼字沼向58</t>
  </si>
  <si>
    <t>0180029</t>
  </si>
  <si>
    <t>AsyzAP便所 PPP元キー:00000002-0000001101-1</t>
  </si>
  <si>
    <t>001490:北上川河川歴史公園</t>
  </si>
  <si>
    <t>2009/12/01</t>
  </si>
  <si>
    <t>豊里町中谷岐</t>
  </si>
  <si>
    <t>01_01_08</t>
  </si>
  <si>
    <t>2010/04/01</t>
  </si>
  <si>
    <t>11</t>
  </si>
  <si>
    <t>0180028</t>
  </si>
  <si>
    <t>AsyzAP便所 PPP元キー:00000002-0000001100-1</t>
  </si>
  <si>
    <t>001489:豊里水辺の公園</t>
  </si>
  <si>
    <t>2007/05/31</t>
  </si>
  <si>
    <t>豊里町川前187-1</t>
  </si>
  <si>
    <t>0180027</t>
  </si>
  <si>
    <t>AsyzAP便所 PPP元キー:00000002-0000001099-1</t>
  </si>
  <si>
    <t>001487:豊里花の公園</t>
  </si>
  <si>
    <t>1994/03/31</t>
  </si>
  <si>
    <t>豊里町小口前62-5</t>
  </si>
  <si>
    <t>1994/04/01</t>
  </si>
  <si>
    <t>5:コンクリートブロック</t>
  </si>
  <si>
    <t>34</t>
  </si>
  <si>
    <t>27</t>
  </si>
  <si>
    <t>0180025</t>
  </si>
  <si>
    <t>AsyzAP便所 PPP元キー:00000002-0000001097-1</t>
  </si>
  <si>
    <t>001482:萩洗公園</t>
  </si>
  <si>
    <t>2000/03/31</t>
  </si>
  <si>
    <t>迫町佐沼字江合一丁目6-5</t>
  </si>
  <si>
    <t>2000/04/01</t>
  </si>
  <si>
    <t>21</t>
  </si>
  <si>
    <t>0180020</t>
  </si>
  <si>
    <t>AsyzAP便所 PPP元キー:00000002-0000001090-1</t>
  </si>
  <si>
    <t>001480:中江中央公園</t>
  </si>
  <si>
    <t>2006/10/16</t>
  </si>
  <si>
    <t>迫町佐沼字中江二丁目6-3</t>
  </si>
  <si>
    <t>0180018</t>
  </si>
  <si>
    <t>AsyzAP便所 PPP元キー:00000002-0000001088-1</t>
  </si>
  <si>
    <t>001474:なかよし公園</t>
  </si>
  <si>
    <t>2010/03/15</t>
  </si>
  <si>
    <t>中田町石森字加賀野二丁目87</t>
  </si>
  <si>
    <t>0180012</t>
  </si>
  <si>
    <t>AsyzAP便所 PPP元キー:00000002-0000001084-1</t>
  </si>
  <si>
    <t>001473:萩洗2号公園</t>
  </si>
  <si>
    <t>2003/03/31</t>
  </si>
  <si>
    <t>迫町佐沼字江合三丁目7-5</t>
  </si>
  <si>
    <t>2003/04/01</t>
  </si>
  <si>
    <t>18</t>
  </si>
  <si>
    <t>0180011</t>
  </si>
  <si>
    <t>AsyzAP便所 PPP元キー:00000002-0000001083-1</t>
  </si>
  <si>
    <t>001472:萩洗1号公園</t>
  </si>
  <si>
    <t>迫町佐沼字萩洗一丁目14-7</t>
  </si>
  <si>
    <t>0180010</t>
  </si>
  <si>
    <t>AsyzAP便所 PPP元キー:00000002-0000001082-1</t>
  </si>
  <si>
    <t>001464:中江東公園</t>
  </si>
  <si>
    <t>2010/03/24</t>
  </si>
  <si>
    <t>迫町佐沼字中江一丁目4-1</t>
  </si>
  <si>
    <t>0180002</t>
  </si>
  <si>
    <t>AsyzAP便所 PPP元キー:00000002-0000001080-1</t>
  </si>
  <si>
    <t>001463:錦公園</t>
  </si>
  <si>
    <t>迫町佐沼字錦138</t>
  </si>
  <si>
    <t>0180001</t>
  </si>
  <si>
    <t>AsyzAP便所 PPP元キー:00000002-0000001079-1</t>
  </si>
  <si>
    <t>001479:大東公園</t>
  </si>
  <si>
    <t>1978/03/31</t>
  </si>
  <si>
    <t>迫町佐沼字新大東53-・54</t>
  </si>
  <si>
    <t>2015</t>
  </si>
  <si>
    <t>1978/04/01</t>
  </si>
  <si>
    <t>0180017</t>
  </si>
  <si>
    <t>公衆便所</t>
  </si>
  <si>
    <t>001484:かがの公園</t>
  </si>
  <si>
    <t>2000/03/01</t>
  </si>
  <si>
    <t>2018/11/02</t>
  </si>
  <si>
    <t>都市公園</t>
  </si>
  <si>
    <t>中田町石森字加賀野一丁目65</t>
  </si>
  <si>
    <t>16</t>
  </si>
  <si>
    <t>0180022</t>
  </si>
  <si>
    <t>001485:鹿ヶ城公園</t>
  </si>
  <si>
    <t>1975/03/31</t>
  </si>
  <si>
    <t>迫町佐沼字内町33-1</t>
  </si>
  <si>
    <t>41</t>
  </si>
  <si>
    <t>0180023</t>
  </si>
  <si>
    <t>001495:迫永田農村公園</t>
  </si>
  <si>
    <t>迫町北方字熊沢44-2</t>
  </si>
  <si>
    <t>0190001</t>
  </si>
  <si>
    <t>001496:迫坂戸公園</t>
  </si>
  <si>
    <t>迫町新田字東坂戸155-1</t>
  </si>
  <si>
    <t>0190002</t>
  </si>
  <si>
    <t>001497:迫泥内農村公園</t>
  </si>
  <si>
    <t>迫町北方字新土手ノ内71-1</t>
  </si>
  <si>
    <t>0190003</t>
  </si>
  <si>
    <t>001498:東和大沢農村公園</t>
  </si>
  <si>
    <t>1994/11/07</t>
  </si>
  <si>
    <t>東和町米谷字新大沢94-2</t>
  </si>
  <si>
    <t>2016</t>
  </si>
  <si>
    <t>2017/03/31</t>
  </si>
  <si>
    <t>1995/04/01</t>
  </si>
  <si>
    <t>0190004</t>
  </si>
  <si>
    <t>001500:東和機織沼農村公園</t>
  </si>
  <si>
    <t>東和町錦織字内ノ目291-3-・294-2</t>
  </si>
  <si>
    <t>2017</t>
  </si>
  <si>
    <t>2018/03/31</t>
  </si>
  <si>
    <t>0190006</t>
  </si>
  <si>
    <t>001503:東和軽米農村公園</t>
  </si>
  <si>
    <t>東和町米川字軽米87-4-他</t>
  </si>
  <si>
    <t>19</t>
  </si>
  <si>
    <t>0190009</t>
  </si>
  <si>
    <t>001504:東和馬の足農村公園</t>
  </si>
  <si>
    <t>2017/12/27</t>
  </si>
  <si>
    <t>東和町米川字馬ノ足26-3-・28-7</t>
  </si>
  <si>
    <t>0190010</t>
  </si>
  <si>
    <t>001505:中田大手口公園</t>
  </si>
  <si>
    <t>1982/03/31</t>
  </si>
  <si>
    <t>中田町上沼字長根3-1-・108</t>
  </si>
  <si>
    <t>1982/04/01</t>
  </si>
  <si>
    <t>0190011</t>
  </si>
  <si>
    <t>001506:中田川面公園</t>
  </si>
  <si>
    <t>1989/06/01</t>
  </si>
  <si>
    <t>中田町浅水字東川面195-2-・198-1</t>
  </si>
  <si>
    <t>1990/04/01</t>
  </si>
  <si>
    <t>26</t>
  </si>
  <si>
    <t>0190012</t>
  </si>
  <si>
    <t>001507:中田舘公園</t>
  </si>
  <si>
    <t>1990/03/01</t>
  </si>
  <si>
    <t>中田町宝江新井田字細谷125</t>
  </si>
  <si>
    <t>0190013</t>
  </si>
  <si>
    <t>001508:中田浅部公園</t>
  </si>
  <si>
    <t>中田町浅水字浅部玉山180-4</t>
  </si>
  <si>
    <t>0190014</t>
  </si>
  <si>
    <t>001510:中田西田公園</t>
  </si>
  <si>
    <t>1997/03/01</t>
  </si>
  <si>
    <t>農村公園</t>
  </si>
  <si>
    <t>中田町石森字西田北29</t>
  </si>
  <si>
    <t>0190016</t>
  </si>
  <si>
    <t>001511:中田新井田公園</t>
  </si>
  <si>
    <t>1996/02/01</t>
  </si>
  <si>
    <t>中田町宝江新井田字上待井31-2</t>
  </si>
  <si>
    <t>1996/04/01</t>
  </si>
  <si>
    <t>0190017</t>
  </si>
  <si>
    <t>001512:中田浅水農村公園</t>
  </si>
  <si>
    <t>中田町浅水字荒神堂143-1-・148-1・149-1</t>
  </si>
  <si>
    <t>0190018</t>
  </si>
  <si>
    <t>001516:米山後小路公園</t>
  </si>
  <si>
    <t>米山町西野字中島134-1</t>
  </si>
  <si>
    <t>0190022</t>
  </si>
  <si>
    <t>001517:米山中津山公園</t>
  </si>
  <si>
    <t>米山町中津山字平潟642-2</t>
  </si>
  <si>
    <t>0190023</t>
  </si>
  <si>
    <t>001518:米山桜岡公園</t>
  </si>
  <si>
    <t>米山町字桜岡上待井300-3</t>
  </si>
  <si>
    <t>0190024</t>
  </si>
  <si>
    <t>001519:米山桜岡第２公園</t>
  </si>
  <si>
    <t>2017/10/30</t>
  </si>
  <si>
    <t>米山町字桜岡新東新田25-6-他</t>
  </si>
  <si>
    <t>0190025</t>
  </si>
  <si>
    <t>001520:米山吉田公園</t>
  </si>
  <si>
    <t>米山町字中道東76-1</t>
  </si>
  <si>
    <t>0190026</t>
  </si>
  <si>
    <t>001521:米山千貫公園</t>
  </si>
  <si>
    <t>米山町中津山字東千貫47-3</t>
  </si>
  <si>
    <t>0190027</t>
  </si>
  <si>
    <t>001522:米山中埣公園</t>
  </si>
  <si>
    <t>2019/03/14</t>
  </si>
  <si>
    <t>米山町西野字平埣前72</t>
  </si>
  <si>
    <t>0190028</t>
  </si>
  <si>
    <t>001524:石越第3農村公園</t>
  </si>
  <si>
    <t>石越町南郷字松ケ崎前6-1</t>
  </si>
  <si>
    <t>0190030</t>
  </si>
  <si>
    <t>001525:南方中央公園</t>
  </si>
  <si>
    <t>1988/02/28</t>
  </si>
  <si>
    <t>南方町八の森11-1</t>
  </si>
  <si>
    <t>1988/04/01</t>
  </si>
  <si>
    <t>28</t>
  </si>
  <si>
    <t>0190031</t>
  </si>
  <si>
    <t>001526:南方苔下農村公園</t>
  </si>
  <si>
    <t>1976/09/30</t>
  </si>
  <si>
    <t>南方町後高石162-3</t>
  </si>
  <si>
    <t>1977/04/01</t>
  </si>
  <si>
    <t>39</t>
  </si>
  <si>
    <t>0190032</t>
  </si>
  <si>
    <t>001527:南方沢田農村公園</t>
  </si>
  <si>
    <t>南方町松島屋敷85</t>
  </si>
  <si>
    <t>0190033</t>
  </si>
  <si>
    <t>001529:南方原農村公園</t>
  </si>
  <si>
    <t>南方町新大村前5</t>
  </si>
  <si>
    <t>0190035</t>
  </si>
  <si>
    <t>001530:南方南大畑農村公園</t>
  </si>
  <si>
    <t>南方町新田15</t>
  </si>
  <si>
    <t>0190036</t>
  </si>
  <si>
    <t>001533:南方北本郷遊園</t>
  </si>
  <si>
    <t>南方町照井225-1</t>
  </si>
  <si>
    <t>0190039</t>
  </si>
  <si>
    <t>001549:登米森林公園</t>
  </si>
  <si>
    <t>1035400000:農林振興課</t>
  </si>
  <si>
    <t>1987/03/31</t>
  </si>
  <si>
    <t>登米町大字日根牛上羽沢158-2</t>
  </si>
  <si>
    <t>1987/04/01</t>
  </si>
  <si>
    <t>29</t>
  </si>
  <si>
    <t>0200001</t>
  </si>
  <si>
    <t>1999/03/31</t>
  </si>
  <si>
    <t>17</t>
  </si>
  <si>
    <t>001568:石越高森公園</t>
  </si>
  <si>
    <t>1994/06/14</t>
  </si>
  <si>
    <t>石越町南郷字高森</t>
  </si>
  <si>
    <t>0301:所管換</t>
  </si>
  <si>
    <t>25</t>
  </si>
  <si>
    <t>0210023</t>
  </si>
  <si>
    <t>2018/03/30</t>
  </si>
  <si>
    <t>001553:迫兵粮山公園</t>
  </si>
  <si>
    <t>迫町北方字兵粮23-1</t>
  </si>
  <si>
    <t>0210002</t>
  </si>
  <si>
    <t>001555:登米駒つなぎの広場</t>
  </si>
  <si>
    <t>1035500000:地域ビジネス支援課</t>
  </si>
  <si>
    <t>登米町寺池桜小路1-8-・150</t>
  </si>
  <si>
    <t>0210004</t>
  </si>
  <si>
    <t>001556:東和大関川河川公園</t>
  </si>
  <si>
    <t>東和町米谷字相川1-6</t>
  </si>
  <si>
    <t>0210005</t>
  </si>
  <si>
    <t>001563:中田冠木沼親水公園</t>
  </si>
  <si>
    <t>中田町上沼字冠木45-4</t>
  </si>
  <si>
    <t>0210012</t>
  </si>
  <si>
    <t>001567:石越陽だまり公園</t>
  </si>
  <si>
    <t>石越町南郷字西門沖49</t>
  </si>
  <si>
    <t>0210016</t>
  </si>
  <si>
    <t>001678:石越高森児童遊園</t>
  </si>
  <si>
    <t>石越町南郷字高森275-3</t>
  </si>
  <si>
    <t>0270003</t>
  </si>
  <si>
    <t>001679:南方東郷児童遊園</t>
  </si>
  <si>
    <t>南方町堂地220-1</t>
  </si>
  <si>
    <t>0270004</t>
  </si>
  <si>
    <t>001528:南方平貝農村公園</t>
  </si>
  <si>
    <t>南方町平貝280</t>
  </si>
  <si>
    <t>0190034</t>
  </si>
  <si>
    <t>001483:ぜん荷公園</t>
  </si>
  <si>
    <t>2005/02/25</t>
  </si>
  <si>
    <t>東和町米谷字ぜん荷22-2</t>
  </si>
  <si>
    <t>2005/04/01</t>
  </si>
  <si>
    <t>0180021</t>
  </si>
  <si>
    <t>AsyzAP便所 PPP元キー:00000002-0000001091-1</t>
  </si>
  <si>
    <t>001566:平筒沼ふれあい公園</t>
  </si>
  <si>
    <t>米山町字桜岡貝待井582-1</t>
  </si>
  <si>
    <t>0210015</t>
  </si>
  <si>
    <t>ツリーハウス</t>
  </si>
  <si>
    <t>観光公園</t>
  </si>
  <si>
    <t>38:監視所・観察所</t>
  </si>
  <si>
    <t>30</t>
  </si>
  <si>
    <t>12</t>
  </si>
  <si>
    <t>AsyzAP観光公園 PPP元キー:00000002-0000001216-1</t>
  </si>
  <si>
    <t>古民家</t>
  </si>
  <si>
    <t>001589:公園（旧小関邸）</t>
  </si>
  <si>
    <t>1976/04/05</t>
  </si>
  <si>
    <t>登米町寺池桜小路72-5</t>
  </si>
  <si>
    <t>3102:調査判明（増）</t>
  </si>
  <si>
    <t>47:住宅</t>
  </si>
  <si>
    <t>40</t>
  </si>
  <si>
    <t>0230008</t>
  </si>
  <si>
    <t>古民家（改修）</t>
  </si>
  <si>
    <t>2018/01/23</t>
  </si>
  <si>
    <t>2018/04/01</t>
  </si>
  <si>
    <t>AsyzAP PPP元キー:00000002-0000001246-1</t>
  </si>
  <si>
    <t>機械室</t>
  </si>
  <si>
    <t>49:建物付属設備</t>
  </si>
  <si>
    <t>3:給排水又は衛生設備及びガス設備</t>
  </si>
  <si>
    <t>9</t>
  </si>
  <si>
    <t>001561:中田ふれあい中央公園</t>
  </si>
  <si>
    <t>1060100000:中田総合支所市民課</t>
  </si>
  <si>
    <t>中田町上沼字西桜場18</t>
  </si>
  <si>
    <t>0210010</t>
  </si>
  <si>
    <t>機械設備/簡易宿所（改修）</t>
  </si>
  <si>
    <t>2016/07/31</t>
  </si>
  <si>
    <t>2019/04/01</t>
  </si>
  <si>
    <t>2:電気設備/その他のもの</t>
  </si>
  <si>
    <t>AsyzAP PPP元キー:00000002-0000001185-1</t>
  </si>
  <si>
    <t>高圧受電設備改修</t>
  </si>
  <si>
    <t>001581:登米市豊里運動公園</t>
  </si>
  <si>
    <t>3010150000:生涯学習課</t>
  </si>
  <si>
    <t>2019/08/20</t>
  </si>
  <si>
    <t>2017/09/07</t>
  </si>
  <si>
    <t>豊里町上屋浦51-2</t>
  </si>
  <si>
    <t>0220007</t>
  </si>
  <si>
    <t>AsyzAP PPP元キー:00000002-0000001240-1</t>
  </si>
  <si>
    <t>高圧受電設備改修工事</t>
  </si>
  <si>
    <t>2021/03/15</t>
  </si>
  <si>
    <t>2021/04/01</t>
  </si>
  <si>
    <t>AsyzAP PPP元キー:00000002-0000001217-1</t>
  </si>
  <si>
    <t>10</t>
  </si>
  <si>
    <t>4:冷房又は暖房設備/冷暖房設備</t>
  </si>
  <si>
    <t>AsyzAP PPP元キー:00000002-0000001184-1</t>
  </si>
  <si>
    <t>倉庫</t>
  </si>
  <si>
    <t>001551:グリーンキャンプなかだ</t>
  </si>
  <si>
    <t>1993/07/01</t>
  </si>
  <si>
    <t>中田町上沼字本宮8-1</t>
  </si>
  <si>
    <t>0200003</t>
  </si>
  <si>
    <t>物置</t>
  </si>
  <si>
    <t>001571:南方花菖蒲の郷公園</t>
  </si>
  <si>
    <t>南方町翌沢70</t>
  </si>
  <si>
    <t>0210020</t>
  </si>
  <si>
    <t>多目的広場倉庫</t>
  </si>
  <si>
    <t>001488:豊里花の公園（多目的広場倉庫）</t>
  </si>
  <si>
    <t>1974/03/31</t>
  </si>
  <si>
    <t>豊里町小口前80</t>
  </si>
  <si>
    <t>1974/04/01</t>
  </si>
  <si>
    <t>42</t>
  </si>
  <si>
    <t>0180026</t>
  </si>
  <si>
    <t>風車</t>
  </si>
  <si>
    <t>1992/03/31</t>
  </si>
  <si>
    <t>1992/04/01</t>
  </si>
  <si>
    <t>AsyzAP観光公園 PPP元キー:00000002-0000001162-1</t>
  </si>
  <si>
    <t>その他の施設</t>
  </si>
  <si>
    <t>31</t>
  </si>
  <si>
    <t>AsyzAPその他の施設 PPP元キー:00000002-0000001173-1</t>
  </si>
  <si>
    <t>アーチェリー射場</t>
  </si>
  <si>
    <t>001576:登米市東和総合運動公園第二多目的グラウンド</t>
  </si>
  <si>
    <t>2004/03/31</t>
  </si>
  <si>
    <t>2017/12/08</t>
  </si>
  <si>
    <t>その他体育施設</t>
  </si>
  <si>
    <t>東和町錦織字山居沢83-の内</t>
  </si>
  <si>
    <t>2004/04/01</t>
  </si>
  <si>
    <t>0220002</t>
  </si>
  <si>
    <t>AsyzAPその他体育施設 PPP元キー:00000002-0000001223-1</t>
  </si>
  <si>
    <t>AsyzAPその他体育施設 PPP元キー:00000002-0000001227-1</t>
  </si>
  <si>
    <t>AsyzAPその他体育施設 PPP元キー:00000002-0000001228-1</t>
  </si>
  <si>
    <t>001579:登米市諏訪公園</t>
  </si>
  <si>
    <t>2001/03/31</t>
  </si>
  <si>
    <t>中田町宝江黒沼字浦38-3</t>
  </si>
  <si>
    <t>2001/04/01</t>
  </si>
  <si>
    <t>0220005</t>
  </si>
  <si>
    <t>AsyzAP倉庫 PPP元キー:00000002-0000001234-1</t>
  </si>
  <si>
    <t>1994/12/15</t>
  </si>
  <si>
    <t>2018/12/12</t>
  </si>
  <si>
    <t>AsyzAPその他体育施設 PPP元キー:00000002-0000001225-1</t>
  </si>
  <si>
    <t>AsyzAPその他体育施設 PPP元キー:00000002-0000001226-1</t>
  </si>
  <si>
    <t>キャンプ用品倉庫</t>
  </si>
  <si>
    <t>食品等倉庫</t>
  </si>
  <si>
    <t>AsyzAPその他体育施設 PPP元キー:00000002-0000001224-1</t>
  </si>
  <si>
    <t>001575:登米市登米総合運動公園</t>
  </si>
  <si>
    <t>1993/03/31</t>
  </si>
  <si>
    <t>登米町小島長橋-地内</t>
  </si>
  <si>
    <t>1993/04/01</t>
  </si>
  <si>
    <t>23</t>
  </si>
  <si>
    <t>0220001</t>
  </si>
  <si>
    <t>キャンプ場ごみ置場</t>
  </si>
  <si>
    <t>車庫</t>
  </si>
  <si>
    <t>8:車庫</t>
  </si>
  <si>
    <t>キャンプ場炊飯棟2</t>
  </si>
  <si>
    <t>キャンプ場</t>
  </si>
  <si>
    <t>9:食堂・調理室</t>
  </si>
  <si>
    <t>外炊飯場</t>
  </si>
  <si>
    <t>キャンプ場炊飯棟1</t>
  </si>
  <si>
    <t>2:教育（教育）</t>
  </si>
  <si>
    <t>10:鉄骨造</t>
  </si>
  <si>
    <t>10:陳列所・展示室</t>
  </si>
  <si>
    <t>物産館</t>
  </si>
  <si>
    <t>歴史博物館</t>
  </si>
  <si>
    <t>観光物産施設</t>
  </si>
  <si>
    <t>1989/04/01</t>
  </si>
  <si>
    <t>2009/04/01</t>
  </si>
  <si>
    <t>津山町横山字細屋24</t>
  </si>
  <si>
    <t>1984/04/01</t>
  </si>
  <si>
    <t>47</t>
  </si>
  <si>
    <t>1983/04/01</t>
  </si>
  <si>
    <t>1984/03/31</t>
  </si>
  <si>
    <t>1990/03/31</t>
  </si>
  <si>
    <t>1983/03/31</t>
  </si>
  <si>
    <t>1979/03/31</t>
  </si>
  <si>
    <t>1979/04/01</t>
  </si>
  <si>
    <t>16:体育館</t>
  </si>
  <si>
    <t>石越町南郷字矢作122-1</t>
  </si>
  <si>
    <t>1989/03/31</t>
  </si>
  <si>
    <t>17:集会所・会議室</t>
  </si>
  <si>
    <t>2018/09/26</t>
  </si>
  <si>
    <t>建物/簡易宿所（改修）</t>
  </si>
  <si>
    <t>2:事務所</t>
  </si>
  <si>
    <t>管理事務所</t>
  </si>
  <si>
    <t>野球場</t>
  </si>
  <si>
    <t>1996/03/31</t>
  </si>
  <si>
    <t>管理棟</t>
  </si>
  <si>
    <t>2006/03/31</t>
  </si>
  <si>
    <t>2006/04/01</t>
  </si>
  <si>
    <t>1998/04/01</t>
  </si>
  <si>
    <t>21:保健室・医務室・衛生室</t>
  </si>
  <si>
    <t>25:寮舎・宿舎</t>
  </si>
  <si>
    <t>1998/03/31</t>
  </si>
  <si>
    <t>東和町錦織字雷神山15-3</t>
  </si>
  <si>
    <t>001585:間伐材流通合理化センター・食品加工普及施設</t>
  </si>
  <si>
    <t>2019/03/27</t>
  </si>
  <si>
    <t>0230004</t>
  </si>
  <si>
    <t>2018/12/18</t>
  </si>
  <si>
    <t>中田町上沼字新小塚前1</t>
  </si>
  <si>
    <t>001486:鹿ヶ城公園（歴史博物館）</t>
  </si>
  <si>
    <t>1999/09/30</t>
  </si>
  <si>
    <t>迫町佐沼字内町63-20</t>
  </si>
  <si>
    <t>0180024</t>
  </si>
  <si>
    <t>AsyzAP歴史博物館 PPP元キー:00000002-0000001095-1</t>
  </si>
  <si>
    <t>駐車場倉庫</t>
  </si>
  <si>
    <t>博物館</t>
  </si>
  <si>
    <t>001478:迫佐沼公園（光ヶ丘球場）</t>
  </si>
  <si>
    <t>迫町佐沼字光ケ丘1-1</t>
  </si>
  <si>
    <t>0180016</t>
  </si>
  <si>
    <t>AsyzAP野球場 PPP元キー:00000002-0000001085-1</t>
  </si>
  <si>
    <t>交流ハウス</t>
  </si>
  <si>
    <t>001570:南方大嶽山交流広場</t>
  </si>
  <si>
    <t>1991/06/11</t>
  </si>
  <si>
    <t>南方町大嶽山15</t>
  </si>
  <si>
    <t>0210019</t>
  </si>
  <si>
    <t>1993/05/28</t>
  </si>
  <si>
    <t>1994/07/20</t>
  </si>
  <si>
    <t>AsyzAP管理事務所 PPP元キー:00000002-0000001212-1</t>
  </si>
  <si>
    <t>レストハウス</t>
  </si>
  <si>
    <t>AsyzAP観光公園 PPP元キー:00000002-0000001201-1</t>
  </si>
  <si>
    <t>AsyzAP PPP元キー:00000002-0000001183-1</t>
  </si>
  <si>
    <t>ゲームハウス</t>
  </si>
  <si>
    <t>AsyzAP観光公園 PPP元キー:00000002-0000001215-1</t>
  </si>
  <si>
    <t>AsyzAP観光公園 PPP元キー:00000002-0000001214-1</t>
  </si>
  <si>
    <t>テニスコートクラブハウス</t>
  </si>
  <si>
    <t>001577:登米市東和総合運動公園</t>
  </si>
  <si>
    <t>2009/01/23</t>
  </si>
  <si>
    <t>0220003</t>
  </si>
  <si>
    <t>AsyzAP管理事務所 PPP元キー:00000002-0000001231-1</t>
  </si>
  <si>
    <t>001580:登米市石越総合運動公園</t>
  </si>
  <si>
    <t>0220006</t>
  </si>
  <si>
    <t>AsyzAP管理事務所 PPP元キー:00000002-0000001237-1</t>
  </si>
  <si>
    <t>AsyzAP管理事務所 PPP元キー:00000002-0000001239-1</t>
  </si>
  <si>
    <t>ふるさと物産館</t>
  </si>
  <si>
    <t>AsyzAP観光物産施設 PPP元キー:00000002-0000001164-1</t>
  </si>
  <si>
    <t>001481:迫梅ノ木公園（梅ノ木グリーンパーク）</t>
  </si>
  <si>
    <t>迫町佐沼字梅ノ木二丁目4-1</t>
  </si>
  <si>
    <t>0180019</t>
  </si>
  <si>
    <t>AsyzAP管理事務所 PPP元キー:00000002-0000001089-1</t>
  </si>
  <si>
    <t>1992/01/30</t>
  </si>
  <si>
    <t>AsyzAP管理事務所 PPP元キー:00000002-0000001178-1</t>
  </si>
  <si>
    <t>サニタリー棟</t>
  </si>
  <si>
    <t>AsyzAPキャンプ場 PPP元キー:00000002-0000001154-1</t>
  </si>
  <si>
    <t>公園案内所</t>
  </si>
  <si>
    <t>24:案内所</t>
  </si>
  <si>
    <t>AsyzAP観光公園 PPP元キー:00000002-0000001163-1</t>
  </si>
  <si>
    <t>001564:中田地蔵沼親水公園</t>
  </si>
  <si>
    <t>0210013</t>
  </si>
  <si>
    <t>001467:南佐沼公園</t>
  </si>
  <si>
    <t>迫町佐沼字南佐沼二丁目3-5</t>
  </si>
  <si>
    <t>0180005</t>
  </si>
  <si>
    <t>AsyzAP便所 PPP元キー:00000002-0000001236-1</t>
  </si>
  <si>
    <t>AsyzAP便所 PPP元キー:00000002-0000001235-1</t>
  </si>
  <si>
    <t>AsyzAP便所 PPP元キー:00000002-0000001233-1</t>
  </si>
  <si>
    <t>AsyzAP便所 PPP元キー:00000002-0000001232-1</t>
  </si>
  <si>
    <t>001540:津山西下在農村公園</t>
  </si>
  <si>
    <t>津山町柳津字西向395-1</t>
  </si>
  <si>
    <t>0190046</t>
  </si>
  <si>
    <t>001586:豊里栗公園便所</t>
  </si>
  <si>
    <t>1994/03/30</t>
  </si>
  <si>
    <t>豊里町笑沢</t>
  </si>
  <si>
    <t>0230005</t>
  </si>
  <si>
    <t>キャンプ場トイレ</t>
  </si>
  <si>
    <t>屋外トイレ改修工事</t>
  </si>
  <si>
    <t>2021/03/17</t>
  </si>
  <si>
    <t>AsyzAP PPP元キー:00000002-0000001222-1</t>
  </si>
  <si>
    <t>AsyzAP便所 PPP元キー:00000002-0000001180-1</t>
  </si>
  <si>
    <t>AsyzAP便所 PPP元キー:00000002-0000001179-1</t>
  </si>
  <si>
    <t>AsyzAP便所 PPP元キー:00000002-0000001174-1</t>
  </si>
  <si>
    <t>便所（改修）</t>
  </si>
  <si>
    <t>AsyzAP PPP元キー:00000002-0000001170-1</t>
  </si>
  <si>
    <t>AsyzAP都市公園 PPP元キー:00000002-0000001096-1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</si>
</sst>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4" x14ac:knownFonts="1">
    <font>
      <sz val="11"/>
      <name val="Calibri"/>
    </font>
    <font>
      <sz val="11"/>
      <name val="ＭＳ ゴシック"/>
      <family val="3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0EE9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Fill="1" applyBorder="1"/>
    <xf numFmtId="0" fontId="2" fillId="2" borderId="0" xfId="0" applyFont="1" applyFill="1" applyBorder="1" applyAlignment="1">
      <alignment horizontal="center"/>
    </xf>
    <xf numFmtId="176" fontId="2" fillId="2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176" fontId="3" fillId="0" borderId="0" xfId="0" applyNumberFormat="1" applyFont="1" applyFill="1" applyBorder="1"/>
    <xf numFmtId="3" fontId="3" fillId="0" borderId="0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147"/>
  <sheetViews>
    <sheetView tabSelected="1" defaultGridColor="0" topLeftCell="C1" colorId="8" workbookViewId="0">
      <selection activeCell="C1" sqref="C1"/>
    </sheetView>
  </sheetViews>
  <sheetFormatPr defaultColWidth="2.7109375" defaultRowHeight="19.5" x14ac:dyDescent="0.4"/>
  <cols>
    <col min="1" max="1" width="6.42578125" style="4" hidden="1" customWidth="1"/>
    <col min="2" max="2" width="4.42578125" style="4" hidden="1" customWidth="1"/>
    <col min="3" max="4" width="21" style="4" bestFit="1" customWidth="1"/>
    <col min="5" max="5" width="26.140625" style="4" bestFit="1" customWidth="1"/>
    <col min="6" max="8" width="10" style="4" hidden="1" customWidth="1"/>
    <col min="9" max="9" width="74" style="4" bestFit="1" customWidth="1"/>
    <col min="10" max="10" width="48.28515625" style="4" bestFit="1" customWidth="1"/>
    <col min="11" max="11" width="13.5703125" style="4" bestFit="1" customWidth="1"/>
    <col min="12" max="12" width="101" style="4" bestFit="1" customWidth="1"/>
    <col min="13" max="13" width="56" style="5" bestFit="1" customWidth="1"/>
    <col min="14" max="14" width="95.85546875" style="4" bestFit="1" customWidth="1"/>
    <col min="15" max="15" width="7.7109375" style="6" bestFit="1" customWidth="1"/>
    <col min="16" max="16" width="20" style="4" bestFit="1" customWidth="1"/>
    <col min="17" max="17" width="17.5703125" style="6" bestFit="1" customWidth="1"/>
    <col min="18" max="18" width="20.140625" style="6" bestFit="1" customWidth="1"/>
    <col min="19" max="19" width="14.5703125" style="5" bestFit="1" customWidth="1"/>
    <col min="20" max="21" width="8.140625" style="4" customWidth="1"/>
    <col min="22" max="22" width="17.42578125" style="6" bestFit="1" customWidth="1"/>
    <col min="23" max="23" width="20.140625" style="6" bestFit="1" customWidth="1"/>
    <col min="24" max="24" width="32.85546875" style="4" bestFit="1" customWidth="1"/>
    <col min="25" max="25" width="15.5703125" style="4" hidden="1" customWidth="1"/>
    <col min="26" max="26" width="13.7109375" style="4" hidden="1" customWidth="1"/>
    <col min="27" max="29" width="11.85546875" style="4" hidden="1" customWidth="1"/>
    <col min="30" max="30" width="6.28515625" style="4" hidden="1" customWidth="1"/>
    <col min="31" max="31" width="6.28515625" style="5" hidden="1" customWidth="1"/>
    <col min="32" max="32" width="13.7109375" style="5" hidden="1" customWidth="1"/>
    <col min="33" max="33" width="11.85546875" style="4" hidden="1" customWidth="1"/>
    <col min="34" max="35" width="10" style="5" hidden="1" customWidth="1"/>
    <col min="36" max="36" width="10" style="4" hidden="1" customWidth="1"/>
    <col min="37" max="38" width="8.140625" style="4" hidden="1" customWidth="1"/>
    <col min="39" max="39" width="13.7109375" style="4" hidden="1" customWidth="1"/>
    <col min="40" max="40" width="11.85546875" style="4" hidden="1" customWidth="1"/>
    <col min="41" max="41" width="13.7109375" style="4" hidden="1" customWidth="1"/>
    <col min="42" max="43" width="11.85546875" style="4" hidden="1" customWidth="1"/>
    <col min="44" max="44" width="13.7109375" style="4" hidden="1" customWidth="1"/>
    <col min="45" max="45" width="11.85546875" style="4" hidden="1" customWidth="1"/>
    <col min="46" max="47" width="4.42578125" style="5" hidden="1" customWidth="1"/>
    <col min="48" max="48" width="8.140625" style="5" hidden="1" customWidth="1"/>
    <col min="49" max="49" width="10" style="5" hidden="1" customWidth="1"/>
    <col min="50" max="50" width="10" style="4" hidden="1" customWidth="1"/>
    <col min="51" max="52" width="4.42578125" style="4" hidden="1" customWidth="1"/>
    <col min="53" max="55" width="11.85546875" style="4" hidden="1" customWidth="1"/>
    <col min="56" max="56" width="10" style="4" hidden="1" customWidth="1"/>
    <col min="57" max="57" width="11.85546875" style="4" hidden="1" customWidth="1"/>
    <col min="58" max="58" width="13.7109375" style="4" hidden="1" customWidth="1"/>
    <col min="59" max="59" width="15.5703125" style="5" hidden="1" customWidth="1"/>
    <col min="60" max="61" width="11.85546875" style="4" hidden="1" customWidth="1"/>
    <col min="62" max="62" width="8.140625" style="4" hidden="1" customWidth="1"/>
    <col min="63" max="63" width="10" style="5" hidden="1" customWidth="1"/>
    <col min="64" max="64" width="13.7109375" style="4" hidden="1" customWidth="1"/>
    <col min="65" max="65" width="21.28515625" style="4" hidden="1" customWidth="1"/>
    <col min="66" max="66" width="11.85546875" style="4" hidden="1" customWidth="1"/>
    <col min="67" max="67" width="13.85546875" style="6" hidden="1" customWidth="1"/>
    <col min="68" max="68" width="10" style="6" hidden="1" customWidth="1"/>
    <col min="69" max="69" width="10" style="4" hidden="1" customWidth="1"/>
    <col min="70" max="70" width="4.42578125" style="4" hidden="1" customWidth="1"/>
    <col min="71" max="73" width="11.85546875" style="4" hidden="1" customWidth="1"/>
    <col min="74" max="78" width="15.5703125" style="4" hidden="1" customWidth="1"/>
    <col min="79" max="79" width="8.140625" style="5" hidden="1" customWidth="1"/>
    <col min="80" max="82" width="8.140625" style="4" hidden="1" customWidth="1"/>
    <col min="83" max="83" width="10" style="4" hidden="1" customWidth="1"/>
    <col min="84" max="84" width="8.140625" style="4" hidden="1" customWidth="1"/>
    <col min="85" max="85" width="11.85546875" style="4" hidden="1" customWidth="1"/>
    <col min="86" max="87" width="13.7109375" style="4" hidden="1" customWidth="1"/>
    <col min="88" max="88" width="17.42578125" style="4" hidden="1" customWidth="1"/>
    <col min="89" max="90" width="11.85546875" style="4" hidden="1" customWidth="1"/>
    <col min="91" max="91" width="6.42578125" style="4" hidden="1" customWidth="1"/>
    <col min="92" max="92" width="11.85546875" style="4" hidden="1" customWidth="1"/>
    <col min="93" max="93" width="13.7109375" style="4" hidden="1" customWidth="1"/>
    <col min="94" max="94" width="11.85546875" style="5" hidden="1" customWidth="1"/>
    <col min="95" max="96" width="11.85546875" style="4" hidden="1" customWidth="1"/>
    <col min="97" max="97" width="8.140625" style="4" hidden="1" customWidth="1"/>
    <col min="98" max="98" width="11.85546875" style="4" hidden="1" customWidth="1"/>
    <col min="99" max="99" width="10" style="4" hidden="1" customWidth="1"/>
    <col min="100" max="102" width="13.7109375" style="4" hidden="1" customWidth="1"/>
    <col min="103" max="103" width="4.42578125" style="6" hidden="1" customWidth="1"/>
    <col min="104" max="104" width="6.28515625" style="6" hidden="1" customWidth="1"/>
    <col min="105" max="106" width="10" style="6" hidden="1" customWidth="1"/>
    <col min="107" max="107" width="8.140625" style="4" hidden="1" customWidth="1"/>
    <col min="108" max="108" width="4.42578125" style="4" hidden="1" customWidth="1"/>
    <col min="109" max="110" width="8.140625" style="4" hidden="1" customWidth="1"/>
    <col min="111" max="111" width="8.140625" style="6" hidden="1" customWidth="1"/>
    <col min="112" max="112" width="6.28515625" style="5" hidden="1" customWidth="1"/>
    <col min="113" max="113" width="8.140625" style="4" hidden="1" customWidth="1"/>
    <col min="114" max="114" width="4.42578125" style="4" hidden="1" customWidth="1"/>
    <col min="115" max="115" width="2.7109375" style="4" hidden="1" customWidth="1"/>
    <col min="116" max="116" width="4.42578125" style="4" hidden="1" customWidth="1"/>
    <col min="117" max="118" width="8.140625" style="4" hidden="1" customWidth="1"/>
    <col min="119" max="119" width="6.28515625" style="6" hidden="1" customWidth="1"/>
    <col min="120" max="120" width="4.42578125" style="4" hidden="1" customWidth="1"/>
    <col min="121" max="121" width="8.140625" style="4" hidden="1" customWidth="1"/>
    <col min="122" max="125" width="4.42578125" style="4" hidden="1" customWidth="1"/>
    <col min="126" max="127" width="11.85546875" style="4" hidden="1" customWidth="1"/>
    <col min="128" max="134" width="10" style="4" hidden="1" customWidth="1"/>
    <col min="135" max="195" width="11.85546875" style="4" hidden="1" customWidth="1"/>
    <col min="196" max="204" width="10" style="4" hidden="1" customWidth="1"/>
    <col min="205" max="225" width="11.85546875" style="4" hidden="1" customWidth="1"/>
    <col min="226" max="226" width="17.5703125" style="4" hidden="1" customWidth="1"/>
    <col min="227" max="227" width="15.7109375" style="4" hidden="1" customWidth="1"/>
    <col min="228" max="228" width="11.85546875" style="4" hidden="1" customWidth="1"/>
    <col min="229" max="229" width="10" style="4" hidden="1" customWidth="1"/>
    <col min="230" max="230" width="13.85546875" style="4" hidden="1" customWidth="1"/>
    <col min="231" max="231" width="6.28515625" style="4" hidden="1" customWidth="1"/>
    <col min="232" max="234" width="8.140625" style="4" hidden="1" customWidth="1"/>
    <col min="235" max="235" width="15.5703125" style="4" hidden="1" customWidth="1"/>
    <col min="236" max="240" width="19.42578125" style="4" hidden="1" customWidth="1"/>
    <col min="241" max="241" width="2.7109375" style="4" hidden="1" customWidth="1"/>
    <col min="242" max="254" width="0" style="4" hidden="1" customWidth="1"/>
    <col min="255" max="16384" width="2.7109375" style="4"/>
  </cols>
  <sheetData>
    <row r="1" spans="1:240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11</v>
      </c>
      <c r="J1" s="1" t="s">
        <v>16</v>
      </c>
      <c r="K1" s="1" t="s">
        <v>46</v>
      </c>
      <c r="L1" s="1" t="s">
        <v>24</v>
      </c>
      <c r="M1" s="2" t="s">
        <v>35</v>
      </c>
      <c r="N1" s="1" t="s">
        <v>8</v>
      </c>
      <c r="O1" s="3" t="s">
        <v>97</v>
      </c>
      <c r="P1" s="1" t="s">
        <v>98</v>
      </c>
      <c r="Q1" s="3" t="s">
        <v>103</v>
      </c>
      <c r="R1" s="3" t="s">
        <v>104</v>
      </c>
      <c r="S1" s="2" t="s">
        <v>18</v>
      </c>
      <c r="T1" s="1" t="s">
        <v>94</v>
      </c>
      <c r="U1" s="1" t="s">
        <v>95</v>
      </c>
      <c r="V1" s="3" t="s">
        <v>101</v>
      </c>
      <c r="W1" s="3" t="s">
        <v>100</v>
      </c>
      <c r="X1" s="1" t="s">
        <v>9</v>
      </c>
      <c r="Y1" s="1" t="s">
        <v>10</v>
      </c>
      <c r="Z1" s="1" t="s">
        <v>12</v>
      </c>
      <c r="AA1" s="1" t="s">
        <v>13</v>
      </c>
      <c r="AB1" s="1" t="s">
        <v>14</v>
      </c>
      <c r="AC1" s="1" t="s">
        <v>15</v>
      </c>
      <c r="AD1" s="1" t="s">
        <v>17</v>
      </c>
      <c r="AE1" s="2" t="s">
        <v>19</v>
      </c>
      <c r="AF1" s="2" t="s">
        <v>20</v>
      </c>
      <c r="AG1" s="1" t="s">
        <v>21</v>
      </c>
      <c r="AH1" s="2" t="s">
        <v>22</v>
      </c>
      <c r="AI1" s="2" t="s">
        <v>23</v>
      </c>
      <c r="AJ1" s="1" t="s">
        <v>25</v>
      </c>
      <c r="AK1" s="1" t="s">
        <v>26</v>
      </c>
      <c r="AL1" s="1" t="s">
        <v>27</v>
      </c>
      <c r="AM1" s="1" t="s">
        <v>28</v>
      </c>
      <c r="AN1" s="1" t="s">
        <v>29</v>
      </c>
      <c r="AO1" s="1" t="s">
        <v>30</v>
      </c>
      <c r="AP1" s="1" t="s">
        <v>31</v>
      </c>
      <c r="AQ1" s="1" t="s">
        <v>32</v>
      </c>
      <c r="AR1" s="1" t="s">
        <v>33</v>
      </c>
      <c r="AS1" s="1" t="s">
        <v>34</v>
      </c>
      <c r="AT1" s="2" t="s">
        <v>36</v>
      </c>
      <c r="AU1" s="2" t="s">
        <v>37</v>
      </c>
      <c r="AV1" s="2" t="s">
        <v>38</v>
      </c>
      <c r="AW1" s="2" t="s">
        <v>39</v>
      </c>
      <c r="AX1" s="1" t="s">
        <v>40</v>
      </c>
      <c r="AY1" s="1" t="s">
        <v>41</v>
      </c>
      <c r="AZ1" s="1" t="s">
        <v>42</v>
      </c>
      <c r="BA1" s="1" t="s">
        <v>43</v>
      </c>
      <c r="BB1" s="1" t="s">
        <v>44</v>
      </c>
      <c r="BC1" s="1" t="s">
        <v>45</v>
      </c>
      <c r="BD1" s="1" t="s">
        <v>47</v>
      </c>
      <c r="BE1" s="1" t="s">
        <v>48</v>
      </c>
      <c r="BF1" s="1" t="s">
        <v>49</v>
      </c>
      <c r="BG1" s="2" t="s">
        <v>50</v>
      </c>
      <c r="BH1" s="1" t="s">
        <v>51</v>
      </c>
      <c r="BI1" s="1" t="s">
        <v>52</v>
      </c>
      <c r="BJ1" s="1" t="s">
        <v>53</v>
      </c>
      <c r="BK1" s="2" t="s">
        <v>54</v>
      </c>
      <c r="BL1" s="1" t="s">
        <v>55</v>
      </c>
      <c r="BM1" s="1" t="s">
        <v>56</v>
      </c>
      <c r="BN1" s="1" t="s">
        <v>57</v>
      </c>
      <c r="BO1" s="3" t="s">
        <v>58</v>
      </c>
      <c r="BP1" s="3" t="s">
        <v>59</v>
      </c>
      <c r="BQ1" s="1" t="s">
        <v>60</v>
      </c>
      <c r="BR1" s="1" t="s">
        <v>61</v>
      </c>
      <c r="BS1" s="1" t="s">
        <v>62</v>
      </c>
      <c r="BT1" s="1" t="s">
        <v>63</v>
      </c>
      <c r="BU1" s="1" t="s">
        <v>64</v>
      </c>
      <c r="BV1" s="1" t="s">
        <v>65</v>
      </c>
      <c r="BW1" s="1" t="s">
        <v>66</v>
      </c>
      <c r="BX1" s="1" t="s">
        <v>67</v>
      </c>
      <c r="BY1" s="1" t="s">
        <v>68</v>
      </c>
      <c r="BZ1" s="1" t="s">
        <v>69</v>
      </c>
      <c r="CA1" s="2" t="s">
        <v>70</v>
      </c>
      <c r="CB1" s="1" t="s">
        <v>71</v>
      </c>
      <c r="CC1" s="1" t="s">
        <v>72</v>
      </c>
      <c r="CD1" s="1" t="s">
        <v>73</v>
      </c>
      <c r="CE1" s="1" t="s">
        <v>74</v>
      </c>
      <c r="CF1" s="1" t="s">
        <v>75</v>
      </c>
      <c r="CG1" s="1" t="s">
        <v>76</v>
      </c>
      <c r="CH1" s="1" t="s">
        <v>77</v>
      </c>
      <c r="CI1" s="1" t="s">
        <v>78</v>
      </c>
      <c r="CJ1" s="1" t="s">
        <v>79</v>
      </c>
      <c r="CK1" s="1" t="s">
        <v>80</v>
      </c>
      <c r="CL1" s="1" t="s">
        <v>81</v>
      </c>
      <c r="CM1" s="1" t="s">
        <v>82</v>
      </c>
      <c r="CN1" s="1" t="s">
        <v>83</v>
      </c>
      <c r="CO1" s="1" t="s">
        <v>84</v>
      </c>
      <c r="CP1" s="2" t="s">
        <v>85</v>
      </c>
      <c r="CQ1" s="1" t="s">
        <v>86</v>
      </c>
      <c r="CR1" s="1" t="s">
        <v>87</v>
      </c>
      <c r="CS1" s="1" t="s">
        <v>88</v>
      </c>
      <c r="CT1" s="1" t="s">
        <v>89</v>
      </c>
      <c r="CU1" s="1" t="s">
        <v>90</v>
      </c>
      <c r="CV1" s="1" t="s">
        <v>91</v>
      </c>
      <c r="CW1" s="1" t="s">
        <v>92</v>
      </c>
      <c r="CX1" s="1" t="s">
        <v>93</v>
      </c>
      <c r="CY1" s="3" t="s">
        <v>96</v>
      </c>
      <c r="CZ1" s="3" t="s">
        <v>99</v>
      </c>
      <c r="DA1" s="3" t="s">
        <v>102</v>
      </c>
      <c r="DB1" s="3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3" t="s">
        <v>110</v>
      </c>
      <c r="DH1" s="2" t="s">
        <v>111</v>
      </c>
      <c r="DI1" s="1" t="s">
        <v>112</v>
      </c>
      <c r="DJ1" s="1" t="s">
        <v>24</v>
      </c>
      <c r="DK1" s="1" t="s">
        <v>113</v>
      </c>
      <c r="DL1" s="1" t="s">
        <v>114</v>
      </c>
      <c r="DM1" s="1" t="s">
        <v>115</v>
      </c>
      <c r="DN1" s="1" t="s">
        <v>116</v>
      </c>
      <c r="DO1" s="3" t="s">
        <v>117</v>
      </c>
      <c r="DP1" s="1" t="s">
        <v>118</v>
      </c>
      <c r="DQ1" s="1" t="s">
        <v>119</v>
      </c>
      <c r="DR1" s="1" t="s">
        <v>120</v>
      </c>
      <c r="DS1" s="1" t="s">
        <v>121</v>
      </c>
      <c r="DT1" s="1" t="s">
        <v>122</v>
      </c>
      <c r="DU1" s="1" t="s">
        <v>123</v>
      </c>
      <c r="DV1" s="1" t="s">
        <v>124</v>
      </c>
      <c r="DW1" s="1" t="s">
        <v>125</v>
      </c>
      <c r="DX1" s="1" t="s">
        <v>126</v>
      </c>
      <c r="DY1" s="1" t="s">
        <v>127</v>
      </c>
      <c r="DZ1" s="1" t="s">
        <v>128</v>
      </c>
      <c r="EA1" s="1" t="s">
        <v>129</v>
      </c>
      <c r="EB1" s="1" t="s">
        <v>130</v>
      </c>
      <c r="EC1" s="1" t="s">
        <v>131</v>
      </c>
      <c r="ED1" s="1" t="s">
        <v>132</v>
      </c>
      <c r="EE1" s="1" t="s">
        <v>133</v>
      </c>
      <c r="EF1" s="1" t="s">
        <v>134</v>
      </c>
      <c r="EG1" s="1" t="s">
        <v>135</v>
      </c>
      <c r="EH1" s="1" t="s">
        <v>136</v>
      </c>
      <c r="EI1" s="1" t="s">
        <v>137</v>
      </c>
      <c r="EJ1" s="1" t="s">
        <v>138</v>
      </c>
      <c r="EK1" s="1" t="s">
        <v>139</v>
      </c>
      <c r="EL1" s="1" t="s">
        <v>140</v>
      </c>
      <c r="EM1" s="1" t="s">
        <v>141</v>
      </c>
      <c r="EN1" s="1" t="s">
        <v>142</v>
      </c>
      <c r="EO1" s="1" t="s">
        <v>143</v>
      </c>
      <c r="EP1" s="1" t="s">
        <v>144</v>
      </c>
      <c r="EQ1" s="1" t="s">
        <v>145</v>
      </c>
      <c r="ER1" s="1" t="s">
        <v>146</v>
      </c>
      <c r="ES1" s="1" t="s">
        <v>147</v>
      </c>
      <c r="ET1" s="1" t="s">
        <v>148</v>
      </c>
      <c r="EU1" s="1" t="s">
        <v>149</v>
      </c>
      <c r="EV1" s="1" t="s">
        <v>150</v>
      </c>
      <c r="EW1" s="1" t="s">
        <v>151</v>
      </c>
      <c r="EX1" s="1" t="s">
        <v>152</v>
      </c>
      <c r="EY1" s="1" t="s">
        <v>153</v>
      </c>
      <c r="EZ1" s="1" t="s">
        <v>154</v>
      </c>
      <c r="FA1" s="1" t="s">
        <v>155</v>
      </c>
      <c r="FB1" s="1" t="s">
        <v>156</v>
      </c>
      <c r="FC1" s="1" t="s">
        <v>157</v>
      </c>
      <c r="FD1" s="1" t="s">
        <v>158</v>
      </c>
      <c r="FE1" s="1" t="s">
        <v>159</v>
      </c>
      <c r="FF1" s="1" t="s">
        <v>160</v>
      </c>
      <c r="FG1" s="1" t="s">
        <v>161</v>
      </c>
      <c r="FH1" s="1" t="s">
        <v>162</v>
      </c>
      <c r="FI1" s="1" t="s">
        <v>163</v>
      </c>
      <c r="FJ1" s="1" t="s">
        <v>164</v>
      </c>
      <c r="FK1" s="1" t="s">
        <v>165</v>
      </c>
      <c r="FL1" s="1" t="s">
        <v>166</v>
      </c>
      <c r="FM1" s="1" t="s">
        <v>167</v>
      </c>
      <c r="FN1" s="1" t="s">
        <v>168</v>
      </c>
      <c r="FO1" s="1" t="s">
        <v>169</v>
      </c>
      <c r="FP1" s="1" t="s">
        <v>170</v>
      </c>
      <c r="FQ1" s="1" t="s">
        <v>171</v>
      </c>
      <c r="FR1" s="1" t="s">
        <v>172</v>
      </c>
      <c r="FS1" s="1" t="s">
        <v>173</v>
      </c>
      <c r="FT1" s="1" t="s">
        <v>174</v>
      </c>
      <c r="FU1" s="1" t="s">
        <v>175</v>
      </c>
      <c r="FV1" s="1" t="s">
        <v>176</v>
      </c>
      <c r="FW1" s="1" t="s">
        <v>177</v>
      </c>
      <c r="FX1" s="1" t="s">
        <v>178</v>
      </c>
      <c r="FY1" s="1" t="s">
        <v>179</v>
      </c>
      <c r="FZ1" s="1" t="s">
        <v>180</v>
      </c>
      <c r="GA1" s="1" t="s">
        <v>181</v>
      </c>
      <c r="GB1" s="1" t="s">
        <v>182</v>
      </c>
      <c r="GC1" s="1" t="s">
        <v>183</v>
      </c>
      <c r="GD1" s="1" t="s">
        <v>184</v>
      </c>
      <c r="GE1" s="1" t="s">
        <v>185</v>
      </c>
      <c r="GF1" s="1" t="s">
        <v>186</v>
      </c>
      <c r="GG1" s="1" t="s">
        <v>187</v>
      </c>
      <c r="GH1" s="1" t="s">
        <v>188</v>
      </c>
      <c r="GI1" s="1" t="s">
        <v>189</v>
      </c>
      <c r="GJ1" s="1" t="s">
        <v>190</v>
      </c>
      <c r="GK1" s="1" t="s">
        <v>191</v>
      </c>
      <c r="GL1" s="1" t="s">
        <v>192</v>
      </c>
      <c r="GM1" s="1" t="s">
        <v>193</v>
      </c>
      <c r="GN1" s="1" t="s">
        <v>194</v>
      </c>
      <c r="GO1" s="1" t="s">
        <v>195</v>
      </c>
      <c r="GP1" s="1" t="s">
        <v>196</v>
      </c>
      <c r="GQ1" s="1" t="s">
        <v>197</v>
      </c>
      <c r="GR1" s="1" t="s">
        <v>198</v>
      </c>
      <c r="GS1" s="1" t="s">
        <v>199</v>
      </c>
      <c r="GT1" s="1" t="s">
        <v>200</v>
      </c>
      <c r="GU1" s="1" t="s">
        <v>201</v>
      </c>
      <c r="GV1" s="1" t="s">
        <v>202</v>
      </c>
      <c r="GW1" s="1" t="s">
        <v>203</v>
      </c>
      <c r="GX1" s="1" t="s">
        <v>204</v>
      </c>
      <c r="GY1" s="1" t="s">
        <v>205</v>
      </c>
      <c r="GZ1" s="1" t="s">
        <v>206</v>
      </c>
      <c r="HA1" s="1" t="s">
        <v>207</v>
      </c>
      <c r="HB1" s="1" t="s">
        <v>208</v>
      </c>
      <c r="HC1" s="1" t="s">
        <v>209</v>
      </c>
      <c r="HD1" s="1" t="s">
        <v>210</v>
      </c>
      <c r="HE1" s="1" t="s">
        <v>211</v>
      </c>
      <c r="HF1" s="1" t="s">
        <v>212</v>
      </c>
      <c r="HG1" s="1" t="s">
        <v>213</v>
      </c>
      <c r="HH1" s="1" t="s">
        <v>214</v>
      </c>
      <c r="HI1" s="1" t="s">
        <v>215</v>
      </c>
      <c r="HJ1" s="1" t="s">
        <v>216</v>
      </c>
      <c r="HK1" s="1" t="s">
        <v>217</v>
      </c>
      <c r="HL1" s="1" t="s">
        <v>218</v>
      </c>
      <c r="HM1" s="1" t="s">
        <v>219</v>
      </c>
      <c r="HN1" s="1" t="s">
        <v>220</v>
      </c>
      <c r="HO1" s="1" t="s">
        <v>221</v>
      </c>
      <c r="HP1" s="1" t="s">
        <v>222</v>
      </c>
      <c r="HQ1" s="1" t="s">
        <v>223</v>
      </c>
      <c r="HR1" s="1" t="s">
        <v>224</v>
      </c>
      <c r="HS1" s="1" t="s">
        <v>225</v>
      </c>
      <c r="HT1" s="1" t="s">
        <v>226</v>
      </c>
      <c r="HU1" s="1" t="s">
        <v>227</v>
      </c>
      <c r="HV1" s="1" t="s">
        <v>228</v>
      </c>
      <c r="HW1" s="1" t="s">
        <v>229</v>
      </c>
      <c r="HX1" s="1" t="s">
        <v>230</v>
      </c>
      <c r="HY1" s="1" t="s">
        <v>231</v>
      </c>
      <c r="HZ1" s="1" t="s">
        <v>232</v>
      </c>
      <c r="IA1" s="1" t="s">
        <v>233</v>
      </c>
      <c r="IB1" s="1" t="s">
        <v>234</v>
      </c>
      <c r="IC1" s="1" t="s">
        <v>235</v>
      </c>
      <c r="ID1" s="1" t="s">
        <v>236</v>
      </c>
      <c r="IE1" s="1" t="s">
        <v>237</v>
      </c>
      <c r="IF1" s="1" t="s">
        <v>238</v>
      </c>
    </row>
    <row r="2" spans="1:240" x14ac:dyDescent="0.4">
      <c r="A2" s="4">
        <v>2</v>
      </c>
      <c r="B2" s="4" t="s">
        <v>239</v>
      </c>
      <c r="C2" s="4">
        <v>1079</v>
      </c>
      <c r="D2" s="4">
        <v>1</v>
      </c>
      <c r="E2" s="4">
        <v>3</v>
      </c>
      <c r="F2" s="4" t="s">
        <v>240</v>
      </c>
      <c r="G2" s="4" t="s">
        <v>241</v>
      </c>
      <c r="H2" s="4" t="s">
        <v>241</v>
      </c>
      <c r="I2" s="4" t="s">
        <v>392</v>
      </c>
      <c r="J2" s="4" t="s">
        <v>317</v>
      </c>
      <c r="K2" s="4" t="s">
        <v>249</v>
      </c>
      <c r="L2" s="4" t="s">
        <v>308</v>
      </c>
      <c r="M2" s="5" t="s">
        <v>393</v>
      </c>
      <c r="N2" s="4" t="s">
        <v>308</v>
      </c>
      <c r="O2" s="6">
        <f>23.6</f>
        <v>23.6</v>
      </c>
      <c r="P2" s="4" t="s">
        <v>267</v>
      </c>
      <c r="Q2" s="6">
        <f>2432556</f>
        <v>2432556</v>
      </c>
      <c r="R2" s="6">
        <f>12411000</f>
        <v>12411000</v>
      </c>
      <c r="S2" s="5" t="s">
        <v>388</v>
      </c>
      <c r="T2" s="4" t="s">
        <v>322</v>
      </c>
      <c r="U2" s="4" t="s">
        <v>342</v>
      </c>
      <c r="V2" s="6">
        <f>831537</f>
        <v>831537</v>
      </c>
      <c r="W2" s="6">
        <f>9978444</f>
        <v>9978444</v>
      </c>
      <c r="X2" s="4" t="s">
        <v>292</v>
      </c>
      <c r="Y2" s="4" t="s">
        <v>242</v>
      </c>
      <c r="Z2" s="4" t="s">
        <v>306</v>
      </c>
      <c r="AA2" s="4" t="s">
        <v>241</v>
      </c>
      <c r="AD2" s="4" t="s">
        <v>241</v>
      </c>
      <c r="AE2" s="5" t="s">
        <v>241</v>
      </c>
      <c r="AF2" s="5" t="s">
        <v>241</v>
      </c>
      <c r="AH2" s="5" t="s">
        <v>241</v>
      </c>
      <c r="AI2" s="5" t="s">
        <v>244</v>
      </c>
      <c r="AJ2" s="4" t="s">
        <v>245</v>
      </c>
      <c r="AK2" s="4" t="s">
        <v>246</v>
      </c>
      <c r="AQ2" s="4" t="s">
        <v>241</v>
      </c>
      <c r="AR2" s="4" t="s">
        <v>241</v>
      </c>
      <c r="AS2" s="4" t="s">
        <v>241</v>
      </c>
      <c r="AT2" s="5" t="s">
        <v>241</v>
      </c>
      <c r="AU2" s="5" t="s">
        <v>241</v>
      </c>
      <c r="AV2" s="5" t="s">
        <v>241</v>
      </c>
      <c r="AY2" s="4" t="s">
        <v>271</v>
      </c>
      <c r="AZ2" s="4" t="s">
        <v>271</v>
      </c>
      <c r="BA2" s="4" t="s">
        <v>247</v>
      </c>
      <c r="BB2" s="4" t="s">
        <v>272</v>
      </c>
      <c r="BC2" s="4" t="s">
        <v>248</v>
      </c>
      <c r="BD2" s="4" t="s">
        <v>241</v>
      </c>
      <c r="BE2" s="4" t="s">
        <v>250</v>
      </c>
      <c r="BF2" s="4" t="s">
        <v>241</v>
      </c>
      <c r="BJ2" s="4" t="s">
        <v>273</v>
      </c>
      <c r="BK2" s="5" t="s">
        <v>274</v>
      </c>
      <c r="BL2" s="4" t="s">
        <v>275</v>
      </c>
      <c r="BM2" s="4" t="s">
        <v>275</v>
      </c>
      <c r="BN2" s="4" t="s">
        <v>241</v>
      </c>
      <c r="BO2" s="6">
        <f>0</f>
        <v>0</v>
      </c>
      <c r="BP2" s="6">
        <f>-831537</f>
        <v>-831537</v>
      </c>
      <c r="BQ2" s="4" t="s">
        <v>255</v>
      </c>
      <c r="BR2" s="4" t="s">
        <v>256</v>
      </c>
      <c r="BS2" s="4" t="s">
        <v>241</v>
      </c>
      <c r="BT2" s="4" t="s">
        <v>241</v>
      </c>
      <c r="BU2" s="4" t="s">
        <v>241</v>
      </c>
      <c r="BV2" s="4" t="s">
        <v>241</v>
      </c>
      <c r="CE2" s="4" t="s">
        <v>256</v>
      </c>
      <c r="CF2" s="4" t="s">
        <v>241</v>
      </c>
      <c r="CG2" s="4" t="s">
        <v>241</v>
      </c>
      <c r="CK2" s="4" t="s">
        <v>276</v>
      </c>
      <c r="CL2" s="4" t="s">
        <v>258</v>
      </c>
      <c r="CM2" s="4" t="s">
        <v>241</v>
      </c>
      <c r="CO2" s="4" t="s">
        <v>341</v>
      </c>
      <c r="CP2" s="5" t="s">
        <v>260</v>
      </c>
      <c r="CQ2" s="4" t="s">
        <v>261</v>
      </c>
      <c r="CR2" s="4" t="s">
        <v>262</v>
      </c>
      <c r="CS2" s="4" t="s">
        <v>278</v>
      </c>
      <c r="CT2" s="4" t="s">
        <v>241</v>
      </c>
      <c r="CU2" s="4">
        <v>6.7000000000000004E-2</v>
      </c>
      <c r="CV2" s="4" t="s">
        <v>298</v>
      </c>
      <c r="CW2" s="4" t="s">
        <v>299</v>
      </c>
      <c r="CX2" s="4" t="s">
        <v>321</v>
      </c>
      <c r="CY2" s="6">
        <f>0</f>
        <v>0</v>
      </c>
      <c r="CZ2" s="6">
        <f>12411000</f>
        <v>12411000</v>
      </c>
      <c r="DA2" s="6">
        <f>2432556</f>
        <v>2432556</v>
      </c>
      <c r="DC2" s="4" t="s">
        <v>241</v>
      </c>
      <c r="DD2" s="4" t="s">
        <v>241</v>
      </c>
      <c r="DF2" s="4" t="s">
        <v>241</v>
      </c>
      <c r="DG2" s="6">
        <f>0</f>
        <v>0</v>
      </c>
      <c r="DI2" s="4" t="s">
        <v>241</v>
      </c>
      <c r="DJ2" s="4" t="s">
        <v>241</v>
      </c>
      <c r="DK2" s="4" t="s">
        <v>241</v>
      </c>
      <c r="DL2" s="4" t="s">
        <v>241</v>
      </c>
      <c r="DM2" s="4" t="s">
        <v>268</v>
      </c>
      <c r="DN2" s="4" t="s">
        <v>269</v>
      </c>
      <c r="DO2" s="6">
        <f>23.6</f>
        <v>23.6</v>
      </c>
      <c r="DP2" s="4" t="s">
        <v>241</v>
      </c>
      <c r="DQ2" s="4" t="s">
        <v>241</v>
      </c>
      <c r="DR2" s="4" t="s">
        <v>241</v>
      </c>
      <c r="DS2" s="4" t="s">
        <v>241</v>
      </c>
      <c r="DV2" s="4" t="s">
        <v>394</v>
      </c>
      <c r="DW2" s="4" t="s">
        <v>268</v>
      </c>
      <c r="GN2" s="4" t="s">
        <v>395</v>
      </c>
      <c r="HO2" s="4" t="s">
        <v>282</v>
      </c>
      <c r="HR2" s="4" t="s">
        <v>269</v>
      </c>
      <c r="HS2" s="4" t="s">
        <v>269</v>
      </c>
      <c r="HT2" s="4" t="s">
        <v>241</v>
      </c>
      <c r="HU2" s="4" t="s">
        <v>241</v>
      </c>
      <c r="HV2" s="4" t="s">
        <v>241</v>
      </c>
      <c r="HW2" s="4" t="s">
        <v>241</v>
      </c>
      <c r="HX2" s="4" t="s">
        <v>241</v>
      </c>
      <c r="HY2" s="4" t="s">
        <v>241</v>
      </c>
      <c r="HZ2" s="4" t="s">
        <v>241</v>
      </c>
      <c r="IA2" s="4" t="s">
        <v>241</v>
      </c>
      <c r="IB2" s="4" t="s">
        <v>241</v>
      </c>
      <c r="IC2" s="4" t="s">
        <v>241</v>
      </c>
      <c r="ID2" s="4" t="s">
        <v>241</v>
      </c>
      <c r="IE2" s="4" t="s">
        <v>241</v>
      </c>
      <c r="IF2" s="4" t="s">
        <v>241</v>
      </c>
    </row>
    <row r="3" spans="1:240" x14ac:dyDescent="0.4">
      <c r="A3" s="4">
        <v>2</v>
      </c>
      <c r="B3" s="4" t="s">
        <v>239</v>
      </c>
      <c r="C3" s="4">
        <v>1080</v>
      </c>
      <c r="D3" s="4">
        <v>1</v>
      </c>
      <c r="E3" s="4">
        <v>3</v>
      </c>
      <c r="F3" s="4" t="s">
        <v>240</v>
      </c>
      <c r="G3" s="4" t="s">
        <v>241</v>
      </c>
      <c r="H3" s="4" t="s">
        <v>241</v>
      </c>
      <c r="I3" s="4" t="s">
        <v>387</v>
      </c>
      <c r="J3" s="4" t="s">
        <v>317</v>
      </c>
      <c r="K3" s="4" t="s">
        <v>249</v>
      </c>
      <c r="L3" s="4" t="s">
        <v>308</v>
      </c>
      <c r="M3" s="5" t="s">
        <v>389</v>
      </c>
      <c r="N3" s="4" t="s">
        <v>308</v>
      </c>
      <c r="O3" s="6">
        <f>23.6</f>
        <v>23.6</v>
      </c>
      <c r="P3" s="4" t="s">
        <v>267</v>
      </c>
      <c r="Q3" s="6">
        <f>2092992</f>
        <v>2092992</v>
      </c>
      <c r="R3" s="6">
        <f>10678500</f>
        <v>10678500</v>
      </c>
      <c r="S3" s="5" t="s">
        <v>388</v>
      </c>
      <c r="T3" s="4" t="s">
        <v>322</v>
      </c>
      <c r="U3" s="4" t="s">
        <v>342</v>
      </c>
      <c r="V3" s="6">
        <f>715459</f>
        <v>715459</v>
      </c>
      <c r="W3" s="6">
        <f>8585508</f>
        <v>8585508</v>
      </c>
      <c r="X3" s="4" t="s">
        <v>292</v>
      </c>
      <c r="Y3" s="4" t="s">
        <v>242</v>
      </c>
      <c r="Z3" s="4" t="s">
        <v>306</v>
      </c>
      <c r="AA3" s="4" t="s">
        <v>241</v>
      </c>
      <c r="AD3" s="4" t="s">
        <v>241</v>
      </c>
      <c r="AE3" s="5" t="s">
        <v>241</v>
      </c>
      <c r="AF3" s="5" t="s">
        <v>241</v>
      </c>
      <c r="AH3" s="5" t="s">
        <v>241</v>
      </c>
      <c r="AI3" s="5" t="s">
        <v>244</v>
      </c>
      <c r="AJ3" s="4" t="s">
        <v>245</v>
      </c>
      <c r="AK3" s="4" t="s">
        <v>246</v>
      </c>
      <c r="AQ3" s="4" t="s">
        <v>241</v>
      </c>
      <c r="AR3" s="4" t="s">
        <v>241</v>
      </c>
      <c r="AS3" s="4" t="s">
        <v>241</v>
      </c>
      <c r="AT3" s="5" t="s">
        <v>241</v>
      </c>
      <c r="AU3" s="5" t="s">
        <v>241</v>
      </c>
      <c r="AV3" s="5" t="s">
        <v>241</v>
      </c>
      <c r="AY3" s="4" t="s">
        <v>271</v>
      </c>
      <c r="AZ3" s="4" t="s">
        <v>271</v>
      </c>
      <c r="BA3" s="4" t="s">
        <v>247</v>
      </c>
      <c r="BB3" s="4" t="s">
        <v>272</v>
      </c>
      <c r="BC3" s="4" t="s">
        <v>248</v>
      </c>
      <c r="BD3" s="4" t="s">
        <v>241</v>
      </c>
      <c r="BE3" s="4" t="s">
        <v>250</v>
      </c>
      <c r="BF3" s="4" t="s">
        <v>241</v>
      </c>
      <c r="BJ3" s="4" t="s">
        <v>273</v>
      </c>
      <c r="BK3" s="5" t="s">
        <v>274</v>
      </c>
      <c r="BL3" s="4" t="s">
        <v>275</v>
      </c>
      <c r="BM3" s="4" t="s">
        <v>275</v>
      </c>
      <c r="BN3" s="4" t="s">
        <v>241</v>
      </c>
      <c r="BO3" s="6">
        <f>0</f>
        <v>0</v>
      </c>
      <c r="BP3" s="6">
        <f>-715459</f>
        <v>-715459</v>
      </c>
      <c r="BQ3" s="4" t="s">
        <v>255</v>
      </c>
      <c r="BR3" s="4" t="s">
        <v>256</v>
      </c>
      <c r="BS3" s="4" t="s">
        <v>241</v>
      </c>
      <c r="BT3" s="4" t="s">
        <v>241</v>
      </c>
      <c r="BU3" s="4" t="s">
        <v>241</v>
      </c>
      <c r="BV3" s="4" t="s">
        <v>241</v>
      </c>
      <c r="CE3" s="4" t="s">
        <v>256</v>
      </c>
      <c r="CF3" s="4" t="s">
        <v>241</v>
      </c>
      <c r="CG3" s="4" t="s">
        <v>241</v>
      </c>
      <c r="CK3" s="4" t="s">
        <v>276</v>
      </c>
      <c r="CL3" s="4" t="s">
        <v>258</v>
      </c>
      <c r="CM3" s="4" t="s">
        <v>241</v>
      </c>
      <c r="CO3" s="4" t="s">
        <v>341</v>
      </c>
      <c r="CP3" s="5" t="s">
        <v>260</v>
      </c>
      <c r="CQ3" s="4" t="s">
        <v>261</v>
      </c>
      <c r="CR3" s="4" t="s">
        <v>262</v>
      </c>
      <c r="CS3" s="4" t="s">
        <v>278</v>
      </c>
      <c r="CT3" s="4" t="s">
        <v>241</v>
      </c>
      <c r="CU3" s="4">
        <v>6.7000000000000004E-2</v>
      </c>
      <c r="CV3" s="4" t="s">
        <v>298</v>
      </c>
      <c r="CW3" s="4" t="s">
        <v>299</v>
      </c>
      <c r="CX3" s="4" t="s">
        <v>321</v>
      </c>
      <c r="CY3" s="6">
        <f>0</f>
        <v>0</v>
      </c>
      <c r="CZ3" s="6">
        <f>10678500</f>
        <v>10678500</v>
      </c>
      <c r="DA3" s="6">
        <f>2092992</f>
        <v>2092992</v>
      </c>
      <c r="DC3" s="4" t="s">
        <v>241</v>
      </c>
      <c r="DD3" s="4" t="s">
        <v>241</v>
      </c>
      <c r="DF3" s="4" t="s">
        <v>241</v>
      </c>
      <c r="DG3" s="6">
        <f>0</f>
        <v>0</v>
      </c>
      <c r="DI3" s="4" t="s">
        <v>241</v>
      </c>
      <c r="DJ3" s="4" t="s">
        <v>241</v>
      </c>
      <c r="DK3" s="4" t="s">
        <v>241</v>
      </c>
      <c r="DL3" s="4" t="s">
        <v>241</v>
      </c>
      <c r="DM3" s="4" t="s">
        <v>268</v>
      </c>
      <c r="DN3" s="4" t="s">
        <v>269</v>
      </c>
      <c r="DO3" s="6">
        <f>23.6</f>
        <v>23.6</v>
      </c>
      <c r="DP3" s="4" t="s">
        <v>241</v>
      </c>
      <c r="DQ3" s="4" t="s">
        <v>241</v>
      </c>
      <c r="DR3" s="4" t="s">
        <v>241</v>
      </c>
      <c r="DS3" s="4" t="s">
        <v>241</v>
      </c>
      <c r="DV3" s="4" t="s">
        <v>390</v>
      </c>
      <c r="DW3" s="4" t="s">
        <v>268</v>
      </c>
      <c r="GN3" s="4" t="s">
        <v>391</v>
      </c>
      <c r="HO3" s="4" t="s">
        <v>282</v>
      </c>
      <c r="HR3" s="4" t="s">
        <v>269</v>
      </c>
      <c r="HS3" s="4" t="s">
        <v>269</v>
      </c>
      <c r="HT3" s="4" t="s">
        <v>241</v>
      </c>
      <c r="HU3" s="4" t="s">
        <v>241</v>
      </c>
      <c r="HV3" s="4" t="s">
        <v>241</v>
      </c>
      <c r="HW3" s="4" t="s">
        <v>241</v>
      </c>
      <c r="HX3" s="4" t="s">
        <v>241</v>
      </c>
      <c r="HY3" s="4" t="s">
        <v>241</v>
      </c>
      <c r="HZ3" s="4" t="s">
        <v>241</v>
      </c>
      <c r="IA3" s="4" t="s">
        <v>241</v>
      </c>
      <c r="IB3" s="4" t="s">
        <v>241</v>
      </c>
      <c r="IC3" s="4" t="s">
        <v>241</v>
      </c>
      <c r="ID3" s="4" t="s">
        <v>241</v>
      </c>
      <c r="IE3" s="4" t="s">
        <v>241</v>
      </c>
      <c r="IF3" s="4" t="s">
        <v>241</v>
      </c>
    </row>
    <row r="4" spans="1:240" x14ac:dyDescent="0.4">
      <c r="A4" s="4">
        <v>2</v>
      </c>
      <c r="B4" s="4" t="s">
        <v>239</v>
      </c>
      <c r="C4" s="4">
        <v>1081</v>
      </c>
      <c r="D4" s="4">
        <v>1</v>
      </c>
      <c r="E4" s="4">
        <v>1</v>
      </c>
      <c r="F4" s="4" t="s">
        <v>240</v>
      </c>
      <c r="G4" s="4" t="s">
        <v>241</v>
      </c>
      <c r="H4" s="4" t="s">
        <v>241</v>
      </c>
      <c r="I4" s="4" t="s">
        <v>771</v>
      </c>
      <c r="J4" s="4" t="s">
        <v>317</v>
      </c>
      <c r="K4" s="4" t="s">
        <v>249</v>
      </c>
      <c r="L4" s="4" t="s">
        <v>308</v>
      </c>
      <c r="M4" s="5" t="s">
        <v>772</v>
      </c>
      <c r="N4" s="4" t="s">
        <v>402</v>
      </c>
      <c r="O4" s="6">
        <f>23.4</f>
        <v>23.4</v>
      </c>
      <c r="P4" s="4" t="s">
        <v>267</v>
      </c>
      <c r="Q4" s="6">
        <f>1</f>
        <v>1</v>
      </c>
      <c r="R4" s="6">
        <f>2340000</f>
        <v>2340000</v>
      </c>
      <c r="S4" s="5" t="s">
        <v>694</v>
      </c>
      <c r="T4" s="4" t="s">
        <v>355</v>
      </c>
      <c r="U4" s="4" t="s">
        <v>355</v>
      </c>
      <c r="W4" s="6">
        <f>2339999</f>
        <v>2339999</v>
      </c>
      <c r="X4" s="4" t="s">
        <v>292</v>
      </c>
      <c r="Y4" s="4" t="s">
        <v>242</v>
      </c>
      <c r="Z4" s="4" t="s">
        <v>306</v>
      </c>
      <c r="AA4" s="4" t="s">
        <v>241</v>
      </c>
      <c r="AD4" s="4" t="s">
        <v>241</v>
      </c>
      <c r="AF4" s="5" t="s">
        <v>241</v>
      </c>
      <c r="AI4" s="5" t="s">
        <v>244</v>
      </c>
      <c r="AJ4" s="4" t="s">
        <v>245</v>
      </c>
      <c r="AK4" s="4" t="s">
        <v>246</v>
      </c>
      <c r="BA4" s="4" t="s">
        <v>247</v>
      </c>
      <c r="BB4" s="4" t="s">
        <v>241</v>
      </c>
      <c r="BC4" s="4" t="s">
        <v>248</v>
      </c>
      <c r="BD4" s="4" t="s">
        <v>241</v>
      </c>
      <c r="BE4" s="4" t="s">
        <v>250</v>
      </c>
      <c r="BF4" s="4" t="s">
        <v>241</v>
      </c>
      <c r="BJ4" s="4" t="s">
        <v>433</v>
      </c>
      <c r="BK4" s="5" t="s">
        <v>434</v>
      </c>
      <c r="BL4" s="4" t="s">
        <v>253</v>
      </c>
      <c r="BM4" s="4" t="s">
        <v>275</v>
      </c>
      <c r="BN4" s="4" t="s">
        <v>241</v>
      </c>
      <c r="BO4" s="6">
        <f>0</f>
        <v>0</v>
      </c>
      <c r="BP4" s="6">
        <f>0</f>
        <v>0</v>
      </c>
      <c r="BQ4" s="4" t="s">
        <v>255</v>
      </c>
      <c r="BR4" s="4" t="s">
        <v>256</v>
      </c>
      <c r="CF4" s="4" t="s">
        <v>241</v>
      </c>
      <c r="CG4" s="4" t="s">
        <v>241</v>
      </c>
      <c r="CK4" s="4" t="s">
        <v>257</v>
      </c>
      <c r="CL4" s="4" t="s">
        <v>258</v>
      </c>
      <c r="CM4" s="4" t="s">
        <v>241</v>
      </c>
      <c r="CO4" s="4" t="s">
        <v>691</v>
      </c>
      <c r="CP4" s="5" t="s">
        <v>260</v>
      </c>
      <c r="CQ4" s="4" t="s">
        <v>261</v>
      </c>
      <c r="CR4" s="4" t="s">
        <v>262</v>
      </c>
      <c r="CS4" s="4" t="s">
        <v>241</v>
      </c>
      <c r="CT4" s="4" t="s">
        <v>241</v>
      </c>
      <c r="CU4" s="4">
        <v>0</v>
      </c>
      <c r="CV4" s="4" t="s">
        <v>298</v>
      </c>
      <c r="CW4" s="4" t="s">
        <v>299</v>
      </c>
      <c r="CX4" s="4" t="s">
        <v>354</v>
      </c>
      <c r="CZ4" s="6">
        <f>2340000</f>
        <v>2340000</v>
      </c>
      <c r="DA4" s="6">
        <f>0</f>
        <v>0</v>
      </c>
      <c r="DC4" s="4" t="s">
        <v>241</v>
      </c>
      <c r="DD4" s="4" t="s">
        <v>241</v>
      </c>
      <c r="DF4" s="4" t="s">
        <v>241</v>
      </c>
      <c r="DI4" s="4" t="s">
        <v>241</v>
      </c>
      <c r="DJ4" s="4" t="s">
        <v>241</v>
      </c>
      <c r="DK4" s="4" t="s">
        <v>241</v>
      </c>
      <c r="DL4" s="4" t="s">
        <v>241</v>
      </c>
      <c r="DM4" s="4" t="s">
        <v>268</v>
      </c>
      <c r="DN4" s="4" t="s">
        <v>269</v>
      </c>
      <c r="DO4" s="6">
        <f>23.4</f>
        <v>23.4</v>
      </c>
      <c r="DP4" s="4" t="s">
        <v>241</v>
      </c>
      <c r="DQ4" s="4" t="s">
        <v>241</v>
      </c>
      <c r="DR4" s="4" t="s">
        <v>241</v>
      </c>
      <c r="DS4" s="4" t="s">
        <v>241</v>
      </c>
      <c r="DV4" s="4" t="s">
        <v>773</v>
      </c>
      <c r="DW4" s="4" t="s">
        <v>268</v>
      </c>
      <c r="HO4" s="4" t="s">
        <v>281</v>
      </c>
      <c r="HR4" s="4" t="s">
        <v>269</v>
      </c>
      <c r="HS4" s="4" t="s">
        <v>269</v>
      </c>
    </row>
    <row r="5" spans="1:240" x14ac:dyDescent="0.4">
      <c r="A5" s="4">
        <v>2</v>
      </c>
      <c r="B5" s="4" t="s">
        <v>239</v>
      </c>
      <c r="C5" s="4">
        <v>1082</v>
      </c>
      <c r="D5" s="4">
        <v>1</v>
      </c>
      <c r="E5" s="4">
        <v>3</v>
      </c>
      <c r="F5" s="4" t="s">
        <v>240</v>
      </c>
      <c r="G5" s="4" t="s">
        <v>241</v>
      </c>
      <c r="H5" s="4" t="s">
        <v>241</v>
      </c>
      <c r="I5" s="4" t="s">
        <v>383</v>
      </c>
      <c r="J5" s="4" t="s">
        <v>317</v>
      </c>
      <c r="K5" s="4" t="s">
        <v>249</v>
      </c>
      <c r="L5" s="4" t="s">
        <v>308</v>
      </c>
      <c r="M5" s="5" t="s">
        <v>384</v>
      </c>
      <c r="N5" s="4" t="s">
        <v>308</v>
      </c>
      <c r="O5" s="6">
        <f>2</f>
        <v>2</v>
      </c>
      <c r="P5" s="4" t="s">
        <v>267</v>
      </c>
      <c r="Q5" s="6">
        <f>59388</f>
        <v>59388</v>
      </c>
      <c r="R5" s="6">
        <f>294000</f>
        <v>294000</v>
      </c>
      <c r="S5" s="5" t="s">
        <v>377</v>
      </c>
      <c r="T5" s="4" t="s">
        <v>265</v>
      </c>
      <c r="U5" s="4" t="s">
        <v>380</v>
      </c>
      <c r="V5" s="6">
        <f>12348</f>
        <v>12348</v>
      </c>
      <c r="W5" s="6">
        <f>234612</f>
        <v>234612</v>
      </c>
      <c r="X5" s="4" t="s">
        <v>292</v>
      </c>
      <c r="Y5" s="4" t="s">
        <v>242</v>
      </c>
      <c r="Z5" s="4" t="s">
        <v>306</v>
      </c>
      <c r="AA5" s="4" t="s">
        <v>241</v>
      </c>
      <c r="AD5" s="4" t="s">
        <v>241</v>
      </c>
      <c r="AE5" s="5" t="s">
        <v>241</v>
      </c>
      <c r="AF5" s="5" t="s">
        <v>241</v>
      </c>
      <c r="AH5" s="5" t="s">
        <v>241</v>
      </c>
      <c r="AI5" s="5" t="s">
        <v>244</v>
      </c>
      <c r="AJ5" s="4" t="s">
        <v>245</v>
      </c>
      <c r="AK5" s="4" t="s">
        <v>246</v>
      </c>
      <c r="AQ5" s="4" t="s">
        <v>241</v>
      </c>
      <c r="AR5" s="4" t="s">
        <v>241</v>
      </c>
      <c r="AS5" s="4" t="s">
        <v>241</v>
      </c>
      <c r="AT5" s="5" t="s">
        <v>241</v>
      </c>
      <c r="AU5" s="5" t="s">
        <v>241</v>
      </c>
      <c r="AV5" s="5" t="s">
        <v>241</v>
      </c>
      <c r="AY5" s="4" t="s">
        <v>271</v>
      </c>
      <c r="AZ5" s="4" t="s">
        <v>271</v>
      </c>
      <c r="BA5" s="4" t="s">
        <v>247</v>
      </c>
      <c r="BB5" s="4" t="s">
        <v>272</v>
      </c>
      <c r="BC5" s="4" t="s">
        <v>248</v>
      </c>
      <c r="BD5" s="4" t="s">
        <v>241</v>
      </c>
      <c r="BE5" s="4" t="s">
        <v>250</v>
      </c>
      <c r="BF5" s="4" t="s">
        <v>241</v>
      </c>
      <c r="BJ5" s="4" t="s">
        <v>273</v>
      </c>
      <c r="BK5" s="5" t="s">
        <v>274</v>
      </c>
      <c r="BL5" s="4" t="s">
        <v>275</v>
      </c>
      <c r="BM5" s="4" t="s">
        <v>275</v>
      </c>
      <c r="BN5" s="4" t="s">
        <v>241</v>
      </c>
      <c r="BO5" s="6">
        <f>0</f>
        <v>0</v>
      </c>
      <c r="BP5" s="6">
        <f>-12348</f>
        <v>-12348</v>
      </c>
      <c r="BQ5" s="4" t="s">
        <v>255</v>
      </c>
      <c r="BR5" s="4" t="s">
        <v>256</v>
      </c>
      <c r="BS5" s="4" t="s">
        <v>241</v>
      </c>
      <c r="BT5" s="4" t="s">
        <v>241</v>
      </c>
      <c r="BU5" s="4" t="s">
        <v>241</v>
      </c>
      <c r="BV5" s="4" t="s">
        <v>241</v>
      </c>
      <c r="CE5" s="4" t="s">
        <v>256</v>
      </c>
      <c r="CF5" s="4" t="s">
        <v>241</v>
      </c>
      <c r="CG5" s="4" t="s">
        <v>241</v>
      </c>
      <c r="CK5" s="4" t="s">
        <v>276</v>
      </c>
      <c r="CL5" s="4" t="s">
        <v>258</v>
      </c>
      <c r="CM5" s="4" t="s">
        <v>241</v>
      </c>
      <c r="CO5" s="4" t="s">
        <v>379</v>
      </c>
      <c r="CP5" s="5" t="s">
        <v>260</v>
      </c>
      <c r="CQ5" s="4" t="s">
        <v>261</v>
      </c>
      <c r="CR5" s="4" t="s">
        <v>262</v>
      </c>
      <c r="CS5" s="4" t="s">
        <v>278</v>
      </c>
      <c r="CT5" s="4" t="s">
        <v>241</v>
      </c>
      <c r="CU5" s="4">
        <v>4.2000000000000003E-2</v>
      </c>
      <c r="CV5" s="4" t="s">
        <v>298</v>
      </c>
      <c r="CW5" s="4" t="s">
        <v>299</v>
      </c>
      <c r="CX5" s="4" t="s">
        <v>264</v>
      </c>
      <c r="CY5" s="6">
        <f>0</f>
        <v>0</v>
      </c>
      <c r="CZ5" s="6">
        <f>294000</f>
        <v>294000</v>
      </c>
      <c r="DA5" s="6">
        <f>59388</f>
        <v>59388</v>
      </c>
      <c r="DC5" s="4" t="s">
        <v>241</v>
      </c>
      <c r="DD5" s="4" t="s">
        <v>241</v>
      </c>
      <c r="DF5" s="4" t="s">
        <v>241</v>
      </c>
      <c r="DG5" s="6">
        <f>0</f>
        <v>0</v>
      </c>
      <c r="DI5" s="4" t="s">
        <v>241</v>
      </c>
      <c r="DJ5" s="4" t="s">
        <v>241</v>
      </c>
      <c r="DK5" s="4" t="s">
        <v>241</v>
      </c>
      <c r="DL5" s="4" t="s">
        <v>241</v>
      </c>
      <c r="DM5" s="4" t="s">
        <v>268</v>
      </c>
      <c r="DN5" s="4" t="s">
        <v>269</v>
      </c>
      <c r="DO5" s="6">
        <f>2</f>
        <v>2</v>
      </c>
      <c r="DP5" s="4" t="s">
        <v>241</v>
      </c>
      <c r="DQ5" s="4" t="s">
        <v>241</v>
      </c>
      <c r="DR5" s="4" t="s">
        <v>241</v>
      </c>
      <c r="DS5" s="4" t="s">
        <v>241</v>
      </c>
      <c r="DV5" s="4" t="s">
        <v>385</v>
      </c>
      <c r="DW5" s="4" t="s">
        <v>268</v>
      </c>
      <c r="GN5" s="4" t="s">
        <v>386</v>
      </c>
      <c r="HO5" s="4" t="s">
        <v>282</v>
      </c>
      <c r="HR5" s="4" t="s">
        <v>269</v>
      </c>
      <c r="HS5" s="4" t="s">
        <v>269</v>
      </c>
      <c r="HT5" s="4" t="s">
        <v>241</v>
      </c>
      <c r="HU5" s="4" t="s">
        <v>241</v>
      </c>
      <c r="HV5" s="4" t="s">
        <v>241</v>
      </c>
      <c r="HW5" s="4" t="s">
        <v>241</v>
      </c>
      <c r="HX5" s="4" t="s">
        <v>241</v>
      </c>
      <c r="HY5" s="4" t="s">
        <v>241</v>
      </c>
      <c r="HZ5" s="4" t="s">
        <v>241</v>
      </c>
      <c r="IA5" s="4" t="s">
        <v>241</v>
      </c>
      <c r="IB5" s="4" t="s">
        <v>241</v>
      </c>
      <c r="IC5" s="4" t="s">
        <v>241</v>
      </c>
      <c r="ID5" s="4" t="s">
        <v>241</v>
      </c>
      <c r="IE5" s="4" t="s">
        <v>241</v>
      </c>
      <c r="IF5" s="4" t="s">
        <v>241</v>
      </c>
    </row>
    <row r="6" spans="1:240" x14ac:dyDescent="0.4">
      <c r="A6" s="4">
        <v>2</v>
      </c>
      <c r="B6" s="4" t="s">
        <v>239</v>
      </c>
      <c r="C6" s="4">
        <v>1083</v>
      </c>
      <c r="D6" s="4">
        <v>1</v>
      </c>
      <c r="E6" s="4">
        <v>3</v>
      </c>
      <c r="F6" s="4" t="s">
        <v>240</v>
      </c>
      <c r="G6" s="4" t="s">
        <v>241</v>
      </c>
      <c r="H6" s="4" t="s">
        <v>241</v>
      </c>
      <c r="I6" s="4" t="s">
        <v>376</v>
      </c>
      <c r="J6" s="4" t="s">
        <v>317</v>
      </c>
      <c r="K6" s="4" t="s">
        <v>249</v>
      </c>
      <c r="L6" s="4" t="s">
        <v>308</v>
      </c>
      <c r="M6" s="5" t="s">
        <v>378</v>
      </c>
      <c r="N6" s="4" t="s">
        <v>308</v>
      </c>
      <c r="O6" s="6">
        <f>2</f>
        <v>2</v>
      </c>
      <c r="P6" s="4" t="s">
        <v>267</v>
      </c>
      <c r="Q6" s="6">
        <f>59388</f>
        <v>59388</v>
      </c>
      <c r="R6" s="6">
        <f>294000</f>
        <v>294000</v>
      </c>
      <c r="S6" s="5" t="s">
        <v>377</v>
      </c>
      <c r="T6" s="4" t="s">
        <v>265</v>
      </c>
      <c r="U6" s="4" t="s">
        <v>380</v>
      </c>
      <c r="V6" s="6">
        <f>12348</f>
        <v>12348</v>
      </c>
      <c r="W6" s="6">
        <f>234612</f>
        <v>234612</v>
      </c>
      <c r="X6" s="4" t="s">
        <v>292</v>
      </c>
      <c r="Y6" s="4" t="s">
        <v>242</v>
      </c>
      <c r="Z6" s="4" t="s">
        <v>306</v>
      </c>
      <c r="AA6" s="4" t="s">
        <v>241</v>
      </c>
      <c r="AD6" s="4" t="s">
        <v>241</v>
      </c>
      <c r="AE6" s="5" t="s">
        <v>241</v>
      </c>
      <c r="AF6" s="5" t="s">
        <v>241</v>
      </c>
      <c r="AH6" s="5" t="s">
        <v>241</v>
      </c>
      <c r="AI6" s="5" t="s">
        <v>244</v>
      </c>
      <c r="AJ6" s="4" t="s">
        <v>245</v>
      </c>
      <c r="AK6" s="4" t="s">
        <v>246</v>
      </c>
      <c r="AQ6" s="4" t="s">
        <v>241</v>
      </c>
      <c r="AR6" s="4" t="s">
        <v>241</v>
      </c>
      <c r="AS6" s="4" t="s">
        <v>241</v>
      </c>
      <c r="AT6" s="5" t="s">
        <v>241</v>
      </c>
      <c r="AU6" s="5" t="s">
        <v>241</v>
      </c>
      <c r="AV6" s="5" t="s">
        <v>241</v>
      </c>
      <c r="AY6" s="4" t="s">
        <v>271</v>
      </c>
      <c r="AZ6" s="4" t="s">
        <v>271</v>
      </c>
      <c r="BA6" s="4" t="s">
        <v>247</v>
      </c>
      <c r="BB6" s="4" t="s">
        <v>272</v>
      </c>
      <c r="BC6" s="4" t="s">
        <v>248</v>
      </c>
      <c r="BD6" s="4" t="s">
        <v>241</v>
      </c>
      <c r="BE6" s="4" t="s">
        <v>250</v>
      </c>
      <c r="BF6" s="4" t="s">
        <v>241</v>
      </c>
      <c r="BJ6" s="4" t="s">
        <v>273</v>
      </c>
      <c r="BK6" s="5" t="s">
        <v>274</v>
      </c>
      <c r="BL6" s="4" t="s">
        <v>275</v>
      </c>
      <c r="BM6" s="4" t="s">
        <v>275</v>
      </c>
      <c r="BN6" s="4" t="s">
        <v>241</v>
      </c>
      <c r="BO6" s="6">
        <f>0</f>
        <v>0</v>
      </c>
      <c r="BP6" s="6">
        <f>-12348</f>
        <v>-12348</v>
      </c>
      <c r="BQ6" s="4" t="s">
        <v>255</v>
      </c>
      <c r="BR6" s="4" t="s">
        <v>256</v>
      </c>
      <c r="BS6" s="4" t="s">
        <v>241</v>
      </c>
      <c r="BT6" s="4" t="s">
        <v>241</v>
      </c>
      <c r="BU6" s="4" t="s">
        <v>241</v>
      </c>
      <c r="BV6" s="4" t="s">
        <v>241</v>
      </c>
      <c r="CE6" s="4" t="s">
        <v>256</v>
      </c>
      <c r="CF6" s="4" t="s">
        <v>241</v>
      </c>
      <c r="CG6" s="4" t="s">
        <v>241</v>
      </c>
      <c r="CK6" s="4" t="s">
        <v>276</v>
      </c>
      <c r="CL6" s="4" t="s">
        <v>258</v>
      </c>
      <c r="CM6" s="4" t="s">
        <v>241</v>
      </c>
      <c r="CO6" s="4" t="s">
        <v>379</v>
      </c>
      <c r="CP6" s="5" t="s">
        <v>260</v>
      </c>
      <c r="CQ6" s="4" t="s">
        <v>261</v>
      </c>
      <c r="CR6" s="4" t="s">
        <v>262</v>
      </c>
      <c r="CS6" s="4" t="s">
        <v>278</v>
      </c>
      <c r="CT6" s="4" t="s">
        <v>241</v>
      </c>
      <c r="CU6" s="4">
        <v>4.2000000000000003E-2</v>
      </c>
      <c r="CV6" s="4" t="s">
        <v>298</v>
      </c>
      <c r="CW6" s="4" t="s">
        <v>299</v>
      </c>
      <c r="CX6" s="4" t="s">
        <v>264</v>
      </c>
      <c r="CY6" s="6">
        <f>0</f>
        <v>0</v>
      </c>
      <c r="CZ6" s="6">
        <f>294000</f>
        <v>294000</v>
      </c>
      <c r="DA6" s="6">
        <f>59388</f>
        <v>59388</v>
      </c>
      <c r="DC6" s="4" t="s">
        <v>241</v>
      </c>
      <c r="DD6" s="4" t="s">
        <v>241</v>
      </c>
      <c r="DF6" s="4" t="s">
        <v>241</v>
      </c>
      <c r="DG6" s="6">
        <f>0</f>
        <v>0</v>
      </c>
      <c r="DI6" s="4" t="s">
        <v>241</v>
      </c>
      <c r="DJ6" s="4" t="s">
        <v>241</v>
      </c>
      <c r="DK6" s="4" t="s">
        <v>241</v>
      </c>
      <c r="DL6" s="4" t="s">
        <v>241</v>
      </c>
      <c r="DM6" s="4" t="s">
        <v>268</v>
      </c>
      <c r="DN6" s="4" t="s">
        <v>269</v>
      </c>
      <c r="DO6" s="6">
        <f>2</f>
        <v>2</v>
      </c>
      <c r="DP6" s="4" t="s">
        <v>241</v>
      </c>
      <c r="DQ6" s="4" t="s">
        <v>241</v>
      </c>
      <c r="DR6" s="4" t="s">
        <v>241</v>
      </c>
      <c r="DS6" s="4" t="s">
        <v>241</v>
      </c>
      <c r="DV6" s="4" t="s">
        <v>381</v>
      </c>
      <c r="DW6" s="4" t="s">
        <v>268</v>
      </c>
      <c r="GN6" s="4" t="s">
        <v>382</v>
      </c>
      <c r="HO6" s="4" t="s">
        <v>282</v>
      </c>
      <c r="HR6" s="4" t="s">
        <v>269</v>
      </c>
      <c r="HS6" s="4" t="s">
        <v>269</v>
      </c>
      <c r="HT6" s="4" t="s">
        <v>241</v>
      </c>
      <c r="HU6" s="4" t="s">
        <v>241</v>
      </c>
      <c r="HV6" s="4" t="s">
        <v>241</v>
      </c>
      <c r="HW6" s="4" t="s">
        <v>241</v>
      </c>
      <c r="HX6" s="4" t="s">
        <v>241</v>
      </c>
      <c r="HY6" s="4" t="s">
        <v>241</v>
      </c>
      <c r="HZ6" s="4" t="s">
        <v>241</v>
      </c>
      <c r="IA6" s="4" t="s">
        <v>241</v>
      </c>
      <c r="IB6" s="4" t="s">
        <v>241</v>
      </c>
      <c r="IC6" s="4" t="s">
        <v>241</v>
      </c>
      <c r="ID6" s="4" t="s">
        <v>241</v>
      </c>
      <c r="IE6" s="4" t="s">
        <v>241</v>
      </c>
      <c r="IF6" s="4" t="s">
        <v>241</v>
      </c>
    </row>
    <row r="7" spans="1:240" x14ac:dyDescent="0.4">
      <c r="A7" s="4">
        <v>2</v>
      </c>
      <c r="B7" s="4" t="s">
        <v>239</v>
      </c>
      <c r="C7" s="4">
        <v>1084</v>
      </c>
      <c r="D7" s="4">
        <v>1</v>
      </c>
      <c r="E7" s="4">
        <v>3</v>
      </c>
      <c r="F7" s="4" t="s">
        <v>240</v>
      </c>
      <c r="G7" s="4" t="s">
        <v>241</v>
      </c>
      <c r="H7" s="4" t="s">
        <v>241</v>
      </c>
      <c r="I7" s="4" t="s">
        <v>371</v>
      </c>
      <c r="J7" s="4" t="s">
        <v>317</v>
      </c>
      <c r="K7" s="4" t="s">
        <v>249</v>
      </c>
      <c r="L7" s="4" t="s">
        <v>308</v>
      </c>
      <c r="M7" s="5" t="s">
        <v>373</v>
      </c>
      <c r="N7" s="4" t="s">
        <v>308</v>
      </c>
      <c r="O7" s="6">
        <f>17.01</f>
        <v>17.010000000000002</v>
      </c>
      <c r="P7" s="4" t="s">
        <v>267</v>
      </c>
      <c r="Q7" s="6">
        <f>1397388</f>
        <v>1397388</v>
      </c>
      <c r="R7" s="6">
        <f>7129500</f>
        <v>7129500</v>
      </c>
      <c r="S7" s="5" t="s">
        <v>372</v>
      </c>
      <c r="T7" s="4" t="s">
        <v>322</v>
      </c>
      <c r="U7" s="4" t="s">
        <v>342</v>
      </c>
      <c r="V7" s="6">
        <f>477676</f>
        <v>477676</v>
      </c>
      <c r="W7" s="6">
        <f>5732112</f>
        <v>5732112</v>
      </c>
      <c r="X7" s="4" t="s">
        <v>292</v>
      </c>
      <c r="Y7" s="4" t="s">
        <v>242</v>
      </c>
      <c r="Z7" s="4" t="s">
        <v>306</v>
      </c>
      <c r="AA7" s="4" t="s">
        <v>241</v>
      </c>
      <c r="AD7" s="4" t="s">
        <v>241</v>
      </c>
      <c r="AE7" s="5" t="s">
        <v>241</v>
      </c>
      <c r="AF7" s="5" t="s">
        <v>241</v>
      </c>
      <c r="AH7" s="5" t="s">
        <v>241</v>
      </c>
      <c r="AI7" s="5" t="s">
        <v>244</v>
      </c>
      <c r="AJ7" s="4" t="s">
        <v>245</v>
      </c>
      <c r="AK7" s="4" t="s">
        <v>246</v>
      </c>
      <c r="AQ7" s="4" t="s">
        <v>241</v>
      </c>
      <c r="AR7" s="4" t="s">
        <v>241</v>
      </c>
      <c r="AS7" s="4" t="s">
        <v>241</v>
      </c>
      <c r="AT7" s="5" t="s">
        <v>241</v>
      </c>
      <c r="AU7" s="5" t="s">
        <v>241</v>
      </c>
      <c r="AV7" s="5" t="s">
        <v>241</v>
      </c>
      <c r="AY7" s="4" t="s">
        <v>271</v>
      </c>
      <c r="AZ7" s="4" t="s">
        <v>271</v>
      </c>
      <c r="BA7" s="4" t="s">
        <v>247</v>
      </c>
      <c r="BB7" s="4" t="s">
        <v>272</v>
      </c>
      <c r="BC7" s="4" t="s">
        <v>248</v>
      </c>
      <c r="BD7" s="4" t="s">
        <v>241</v>
      </c>
      <c r="BE7" s="4" t="s">
        <v>250</v>
      </c>
      <c r="BF7" s="4" t="s">
        <v>241</v>
      </c>
      <c r="BJ7" s="4" t="s">
        <v>273</v>
      </c>
      <c r="BK7" s="5" t="s">
        <v>274</v>
      </c>
      <c r="BL7" s="4" t="s">
        <v>275</v>
      </c>
      <c r="BM7" s="4" t="s">
        <v>275</v>
      </c>
      <c r="BN7" s="4" t="s">
        <v>241</v>
      </c>
      <c r="BO7" s="6">
        <f>0</f>
        <v>0</v>
      </c>
      <c r="BP7" s="6">
        <f>-477676</f>
        <v>-477676</v>
      </c>
      <c r="BQ7" s="4" t="s">
        <v>255</v>
      </c>
      <c r="BR7" s="4" t="s">
        <v>256</v>
      </c>
      <c r="BS7" s="4" t="s">
        <v>241</v>
      </c>
      <c r="BT7" s="4" t="s">
        <v>241</v>
      </c>
      <c r="BU7" s="4" t="s">
        <v>241</v>
      </c>
      <c r="BV7" s="4" t="s">
        <v>241</v>
      </c>
      <c r="CE7" s="4" t="s">
        <v>256</v>
      </c>
      <c r="CF7" s="4" t="s">
        <v>241</v>
      </c>
      <c r="CG7" s="4" t="s">
        <v>241</v>
      </c>
      <c r="CK7" s="4" t="s">
        <v>276</v>
      </c>
      <c r="CL7" s="4" t="s">
        <v>258</v>
      </c>
      <c r="CM7" s="4" t="s">
        <v>241</v>
      </c>
      <c r="CO7" s="4" t="s">
        <v>341</v>
      </c>
      <c r="CP7" s="5" t="s">
        <v>260</v>
      </c>
      <c r="CQ7" s="4" t="s">
        <v>261</v>
      </c>
      <c r="CR7" s="4" t="s">
        <v>262</v>
      </c>
      <c r="CS7" s="4" t="s">
        <v>278</v>
      </c>
      <c r="CT7" s="4" t="s">
        <v>241</v>
      </c>
      <c r="CU7" s="4">
        <v>6.7000000000000004E-2</v>
      </c>
      <c r="CV7" s="4" t="s">
        <v>298</v>
      </c>
      <c r="CW7" s="4" t="s">
        <v>299</v>
      </c>
      <c r="CX7" s="4" t="s">
        <v>321</v>
      </c>
      <c r="CY7" s="6">
        <f>0</f>
        <v>0</v>
      </c>
      <c r="CZ7" s="6">
        <f>7129500</f>
        <v>7129500</v>
      </c>
      <c r="DA7" s="6">
        <f>1397388</f>
        <v>1397388</v>
      </c>
      <c r="DC7" s="4" t="s">
        <v>241</v>
      </c>
      <c r="DD7" s="4" t="s">
        <v>241</v>
      </c>
      <c r="DF7" s="4" t="s">
        <v>241</v>
      </c>
      <c r="DG7" s="6">
        <f>0</f>
        <v>0</v>
      </c>
      <c r="DI7" s="4" t="s">
        <v>241</v>
      </c>
      <c r="DJ7" s="4" t="s">
        <v>241</v>
      </c>
      <c r="DK7" s="4" t="s">
        <v>241</v>
      </c>
      <c r="DL7" s="4" t="s">
        <v>241</v>
      </c>
      <c r="DM7" s="4" t="s">
        <v>268</v>
      </c>
      <c r="DN7" s="4" t="s">
        <v>269</v>
      </c>
      <c r="DO7" s="6">
        <f>17.01</f>
        <v>17.010000000000002</v>
      </c>
      <c r="DP7" s="4" t="s">
        <v>241</v>
      </c>
      <c r="DQ7" s="4" t="s">
        <v>241</v>
      </c>
      <c r="DR7" s="4" t="s">
        <v>241</v>
      </c>
      <c r="DS7" s="4" t="s">
        <v>241</v>
      </c>
      <c r="DV7" s="4" t="s">
        <v>374</v>
      </c>
      <c r="DW7" s="4" t="s">
        <v>268</v>
      </c>
      <c r="GN7" s="4" t="s">
        <v>375</v>
      </c>
      <c r="HO7" s="4" t="s">
        <v>282</v>
      </c>
      <c r="HR7" s="4" t="s">
        <v>269</v>
      </c>
      <c r="HS7" s="4" t="s">
        <v>269</v>
      </c>
      <c r="HT7" s="4" t="s">
        <v>241</v>
      </c>
      <c r="HU7" s="4" t="s">
        <v>241</v>
      </c>
      <c r="HV7" s="4" t="s">
        <v>241</v>
      </c>
      <c r="HW7" s="4" t="s">
        <v>241</v>
      </c>
      <c r="HX7" s="4" t="s">
        <v>241</v>
      </c>
      <c r="HY7" s="4" t="s">
        <v>241</v>
      </c>
      <c r="HZ7" s="4" t="s">
        <v>241</v>
      </c>
      <c r="IA7" s="4" t="s">
        <v>241</v>
      </c>
      <c r="IB7" s="4" t="s">
        <v>241</v>
      </c>
      <c r="IC7" s="4" t="s">
        <v>241</v>
      </c>
      <c r="ID7" s="4" t="s">
        <v>241</v>
      </c>
      <c r="IE7" s="4" t="s">
        <v>241</v>
      </c>
      <c r="IF7" s="4" t="s">
        <v>241</v>
      </c>
    </row>
    <row r="8" spans="1:240" x14ac:dyDescent="0.4">
      <c r="A8" s="4">
        <v>2</v>
      </c>
      <c r="B8" s="4" t="s">
        <v>239</v>
      </c>
      <c r="C8" s="4">
        <v>1085</v>
      </c>
      <c r="D8" s="4">
        <v>1</v>
      </c>
      <c r="E8" s="4">
        <v>3</v>
      </c>
      <c r="F8" s="4" t="s">
        <v>240</v>
      </c>
      <c r="G8" s="4" t="s">
        <v>241</v>
      </c>
      <c r="H8" s="4" t="s">
        <v>241</v>
      </c>
      <c r="I8" s="4" t="s">
        <v>729</v>
      </c>
      <c r="J8" s="4" t="s">
        <v>608</v>
      </c>
      <c r="K8" s="4" t="s">
        <v>249</v>
      </c>
      <c r="L8" s="4" t="s">
        <v>707</v>
      </c>
      <c r="M8" s="5" t="s">
        <v>730</v>
      </c>
      <c r="N8" s="4" t="s">
        <v>709</v>
      </c>
      <c r="O8" s="6">
        <f>719.39</f>
        <v>719.39</v>
      </c>
      <c r="P8" s="4" t="s">
        <v>267</v>
      </c>
      <c r="Q8" s="6">
        <f>18387624</f>
        <v>18387624</v>
      </c>
      <c r="R8" s="6">
        <f>129490200</f>
        <v>129490200</v>
      </c>
      <c r="S8" s="5" t="s">
        <v>696</v>
      </c>
      <c r="T8" s="4" t="s">
        <v>692</v>
      </c>
      <c r="U8" s="4" t="s">
        <v>300</v>
      </c>
      <c r="V8" s="6">
        <f>2848784</f>
        <v>2848784</v>
      </c>
      <c r="W8" s="6">
        <f>111102576</f>
        <v>111102576</v>
      </c>
      <c r="X8" s="4" t="s">
        <v>292</v>
      </c>
      <c r="Y8" s="4" t="s">
        <v>242</v>
      </c>
      <c r="Z8" s="4" t="s">
        <v>306</v>
      </c>
      <c r="AA8" s="4" t="s">
        <v>241</v>
      </c>
      <c r="AD8" s="4" t="s">
        <v>241</v>
      </c>
      <c r="AE8" s="5" t="s">
        <v>241</v>
      </c>
      <c r="AF8" s="5" t="s">
        <v>241</v>
      </c>
      <c r="AH8" s="5" t="s">
        <v>241</v>
      </c>
      <c r="AI8" s="5" t="s">
        <v>244</v>
      </c>
      <c r="AJ8" s="4" t="s">
        <v>245</v>
      </c>
      <c r="AK8" s="4" t="s">
        <v>246</v>
      </c>
      <c r="AQ8" s="4" t="s">
        <v>241</v>
      </c>
      <c r="AR8" s="4" t="s">
        <v>241</v>
      </c>
      <c r="AS8" s="4" t="s">
        <v>241</v>
      </c>
      <c r="AT8" s="5" t="s">
        <v>241</v>
      </c>
      <c r="AU8" s="5" t="s">
        <v>241</v>
      </c>
      <c r="AV8" s="5" t="s">
        <v>241</v>
      </c>
      <c r="AY8" s="4" t="s">
        <v>271</v>
      </c>
      <c r="AZ8" s="4" t="s">
        <v>271</v>
      </c>
      <c r="BA8" s="4" t="s">
        <v>247</v>
      </c>
      <c r="BB8" s="4" t="s">
        <v>272</v>
      </c>
      <c r="BC8" s="4" t="s">
        <v>248</v>
      </c>
      <c r="BD8" s="4" t="s">
        <v>241</v>
      </c>
      <c r="BE8" s="4" t="s">
        <v>250</v>
      </c>
      <c r="BF8" s="4" t="s">
        <v>241</v>
      </c>
      <c r="BJ8" s="4" t="s">
        <v>273</v>
      </c>
      <c r="BK8" s="5" t="s">
        <v>274</v>
      </c>
      <c r="BL8" s="4" t="s">
        <v>275</v>
      </c>
      <c r="BM8" s="4" t="s">
        <v>275</v>
      </c>
      <c r="BN8" s="4" t="s">
        <v>241</v>
      </c>
      <c r="BO8" s="6">
        <f>0</f>
        <v>0</v>
      </c>
      <c r="BP8" s="6">
        <f>-2848784</f>
        <v>-2848784</v>
      </c>
      <c r="BQ8" s="4" t="s">
        <v>255</v>
      </c>
      <c r="BR8" s="4" t="s">
        <v>256</v>
      </c>
      <c r="BS8" s="4" t="s">
        <v>241</v>
      </c>
      <c r="BT8" s="4" t="s">
        <v>241</v>
      </c>
      <c r="BU8" s="4" t="s">
        <v>241</v>
      </c>
      <c r="BV8" s="4" t="s">
        <v>241</v>
      </c>
      <c r="CE8" s="4" t="s">
        <v>256</v>
      </c>
      <c r="CF8" s="4" t="s">
        <v>241</v>
      </c>
      <c r="CG8" s="4" t="s">
        <v>241</v>
      </c>
      <c r="CK8" s="4" t="s">
        <v>257</v>
      </c>
      <c r="CL8" s="4" t="s">
        <v>258</v>
      </c>
      <c r="CM8" s="4" t="s">
        <v>241</v>
      </c>
      <c r="CO8" s="4" t="s">
        <v>693</v>
      </c>
      <c r="CP8" s="5" t="s">
        <v>260</v>
      </c>
      <c r="CQ8" s="4" t="s">
        <v>261</v>
      </c>
      <c r="CR8" s="4" t="s">
        <v>262</v>
      </c>
      <c r="CS8" s="4" t="s">
        <v>278</v>
      </c>
      <c r="CT8" s="4" t="s">
        <v>241</v>
      </c>
      <c r="CU8" s="4">
        <v>2.1999999999999999E-2</v>
      </c>
      <c r="CV8" s="4" t="s">
        <v>298</v>
      </c>
      <c r="CW8" s="4" t="s">
        <v>699</v>
      </c>
      <c r="CX8" s="4" t="s">
        <v>279</v>
      </c>
      <c r="CY8" s="6">
        <f>0</f>
        <v>0</v>
      </c>
      <c r="CZ8" s="6">
        <f>129490200</f>
        <v>129490200</v>
      </c>
      <c r="DA8" s="6">
        <f>18387624</f>
        <v>18387624</v>
      </c>
      <c r="DC8" s="4" t="s">
        <v>241</v>
      </c>
      <c r="DD8" s="4" t="s">
        <v>241</v>
      </c>
      <c r="DF8" s="4" t="s">
        <v>241</v>
      </c>
      <c r="DG8" s="6">
        <f>0</f>
        <v>0</v>
      </c>
      <c r="DI8" s="4" t="s">
        <v>241</v>
      </c>
      <c r="DJ8" s="4" t="s">
        <v>241</v>
      </c>
      <c r="DK8" s="4" t="s">
        <v>241</v>
      </c>
      <c r="DL8" s="4" t="s">
        <v>241</v>
      </c>
      <c r="DM8" s="4" t="s">
        <v>268</v>
      </c>
      <c r="DN8" s="4" t="s">
        <v>269</v>
      </c>
      <c r="DO8" s="6">
        <f>719.39</f>
        <v>719.39</v>
      </c>
      <c r="DP8" s="4" t="s">
        <v>241</v>
      </c>
      <c r="DQ8" s="4" t="s">
        <v>241</v>
      </c>
      <c r="DR8" s="4" t="s">
        <v>241</v>
      </c>
      <c r="DS8" s="4" t="s">
        <v>241</v>
      </c>
      <c r="DV8" s="4" t="s">
        <v>731</v>
      </c>
      <c r="DW8" s="4" t="s">
        <v>268</v>
      </c>
      <c r="GN8" s="4" t="s">
        <v>732</v>
      </c>
      <c r="HO8" s="4" t="s">
        <v>282</v>
      </c>
      <c r="HR8" s="4" t="s">
        <v>269</v>
      </c>
      <c r="HS8" s="4" t="s">
        <v>269</v>
      </c>
      <c r="HT8" s="4" t="s">
        <v>241</v>
      </c>
      <c r="HU8" s="4" t="s">
        <v>241</v>
      </c>
      <c r="HV8" s="4" t="s">
        <v>241</v>
      </c>
      <c r="HW8" s="4" t="s">
        <v>241</v>
      </c>
      <c r="HX8" s="4" t="s">
        <v>241</v>
      </c>
      <c r="HY8" s="4" t="s">
        <v>241</v>
      </c>
      <c r="HZ8" s="4" t="s">
        <v>241</v>
      </c>
      <c r="IA8" s="4" t="s">
        <v>241</v>
      </c>
      <c r="IB8" s="4" t="s">
        <v>241</v>
      </c>
      <c r="IC8" s="4" t="s">
        <v>241</v>
      </c>
      <c r="ID8" s="4" t="s">
        <v>241</v>
      </c>
      <c r="IE8" s="4" t="s">
        <v>241</v>
      </c>
      <c r="IF8" s="4" t="s">
        <v>241</v>
      </c>
    </row>
    <row r="9" spans="1:240" x14ac:dyDescent="0.4">
      <c r="A9" s="4">
        <v>2</v>
      </c>
      <c r="B9" s="4" t="s">
        <v>239</v>
      </c>
      <c r="C9" s="4">
        <v>1086</v>
      </c>
      <c r="D9" s="4">
        <v>1</v>
      </c>
      <c r="E9" s="4">
        <v>1</v>
      </c>
      <c r="F9" s="4" t="s">
        <v>240</v>
      </c>
      <c r="G9" s="4" t="s">
        <v>241</v>
      </c>
      <c r="H9" s="4" t="s">
        <v>241</v>
      </c>
      <c r="I9" s="4" t="s">
        <v>729</v>
      </c>
      <c r="J9" s="4" t="s">
        <v>608</v>
      </c>
      <c r="K9" s="4" t="s">
        <v>249</v>
      </c>
      <c r="L9" s="4" t="s">
        <v>308</v>
      </c>
      <c r="M9" s="5" t="s">
        <v>730</v>
      </c>
      <c r="N9" s="4" t="s">
        <v>308</v>
      </c>
      <c r="O9" s="6">
        <f>11.23</f>
        <v>11.23</v>
      </c>
      <c r="P9" s="4" t="s">
        <v>267</v>
      </c>
      <c r="Q9" s="6">
        <f>1</f>
        <v>1</v>
      </c>
      <c r="R9" s="6">
        <f>1740650</f>
        <v>1740650</v>
      </c>
      <c r="S9" s="5" t="s">
        <v>696</v>
      </c>
      <c r="T9" s="4" t="s">
        <v>300</v>
      </c>
      <c r="U9" s="4" t="s">
        <v>300</v>
      </c>
      <c r="W9" s="6">
        <f>1740649</f>
        <v>1740649</v>
      </c>
      <c r="X9" s="4" t="s">
        <v>292</v>
      </c>
      <c r="Y9" s="4" t="s">
        <v>242</v>
      </c>
      <c r="Z9" s="4" t="s">
        <v>306</v>
      </c>
      <c r="AA9" s="4" t="s">
        <v>241</v>
      </c>
      <c r="AD9" s="4" t="s">
        <v>241</v>
      </c>
      <c r="AF9" s="5" t="s">
        <v>241</v>
      </c>
      <c r="AI9" s="5" t="s">
        <v>244</v>
      </c>
      <c r="AJ9" s="4" t="s">
        <v>245</v>
      </c>
      <c r="AK9" s="4" t="s">
        <v>246</v>
      </c>
      <c r="BA9" s="4" t="s">
        <v>247</v>
      </c>
      <c r="BB9" s="4" t="s">
        <v>241</v>
      </c>
      <c r="BC9" s="4" t="s">
        <v>248</v>
      </c>
      <c r="BD9" s="4" t="s">
        <v>241</v>
      </c>
      <c r="BE9" s="4" t="s">
        <v>250</v>
      </c>
      <c r="BF9" s="4" t="s">
        <v>241</v>
      </c>
      <c r="BJ9" s="4" t="s">
        <v>399</v>
      </c>
      <c r="BK9" s="5" t="s">
        <v>244</v>
      </c>
      <c r="BL9" s="4" t="s">
        <v>253</v>
      </c>
      <c r="BM9" s="4" t="s">
        <v>275</v>
      </c>
      <c r="BN9" s="4" t="s">
        <v>241</v>
      </c>
      <c r="BO9" s="6">
        <f>0</f>
        <v>0</v>
      </c>
      <c r="BP9" s="6">
        <f>0</f>
        <v>0</v>
      </c>
      <c r="BQ9" s="4" t="s">
        <v>255</v>
      </c>
      <c r="BR9" s="4" t="s">
        <v>256</v>
      </c>
      <c r="CF9" s="4" t="s">
        <v>241</v>
      </c>
      <c r="CG9" s="4" t="s">
        <v>241</v>
      </c>
      <c r="CK9" s="4" t="s">
        <v>257</v>
      </c>
      <c r="CL9" s="4" t="s">
        <v>258</v>
      </c>
      <c r="CM9" s="4" t="s">
        <v>241</v>
      </c>
      <c r="CO9" s="4" t="s">
        <v>693</v>
      </c>
      <c r="CP9" s="5" t="s">
        <v>260</v>
      </c>
      <c r="CQ9" s="4" t="s">
        <v>261</v>
      </c>
      <c r="CR9" s="4" t="s">
        <v>262</v>
      </c>
      <c r="CS9" s="4" t="s">
        <v>241</v>
      </c>
      <c r="CT9" s="4" t="s">
        <v>241</v>
      </c>
      <c r="CU9" s="4">
        <v>0</v>
      </c>
      <c r="CV9" s="4" t="s">
        <v>298</v>
      </c>
      <c r="CW9" s="4" t="s">
        <v>299</v>
      </c>
      <c r="CX9" s="4" t="s">
        <v>279</v>
      </c>
      <c r="CZ9" s="6">
        <f>1740650</f>
        <v>1740650</v>
      </c>
      <c r="DA9" s="6">
        <f>0</f>
        <v>0</v>
      </c>
      <c r="DC9" s="4" t="s">
        <v>241</v>
      </c>
      <c r="DD9" s="4" t="s">
        <v>241</v>
      </c>
      <c r="DF9" s="4" t="s">
        <v>241</v>
      </c>
      <c r="DI9" s="4" t="s">
        <v>241</v>
      </c>
      <c r="DJ9" s="4" t="s">
        <v>241</v>
      </c>
      <c r="DK9" s="4" t="s">
        <v>241</v>
      </c>
      <c r="DL9" s="4" t="s">
        <v>241</v>
      </c>
      <c r="DM9" s="4" t="s">
        <v>268</v>
      </c>
      <c r="DN9" s="4" t="s">
        <v>269</v>
      </c>
      <c r="DO9" s="6">
        <f>11.23</f>
        <v>11.23</v>
      </c>
      <c r="DP9" s="4" t="s">
        <v>241</v>
      </c>
      <c r="DQ9" s="4" t="s">
        <v>241</v>
      </c>
      <c r="DR9" s="4" t="s">
        <v>241</v>
      </c>
      <c r="DS9" s="4" t="s">
        <v>241</v>
      </c>
      <c r="DV9" s="4" t="s">
        <v>731</v>
      </c>
      <c r="DW9" s="4" t="s">
        <v>289</v>
      </c>
      <c r="HO9" s="4" t="s">
        <v>282</v>
      </c>
      <c r="HR9" s="4" t="s">
        <v>269</v>
      </c>
      <c r="HS9" s="4" t="s">
        <v>269</v>
      </c>
    </row>
    <row r="10" spans="1:240" x14ac:dyDescent="0.4">
      <c r="A10" s="4">
        <v>2</v>
      </c>
      <c r="B10" s="4" t="s">
        <v>239</v>
      </c>
      <c r="C10" s="4">
        <v>1087</v>
      </c>
      <c r="D10" s="4">
        <v>1</v>
      </c>
      <c r="E10" s="4">
        <v>1</v>
      </c>
      <c r="F10" s="4" t="s">
        <v>240</v>
      </c>
      <c r="G10" s="4" t="s">
        <v>241</v>
      </c>
      <c r="H10" s="4" t="s">
        <v>241</v>
      </c>
      <c r="I10" s="4" t="s">
        <v>396</v>
      </c>
      <c r="J10" s="4" t="s">
        <v>317</v>
      </c>
      <c r="K10" s="4" t="s">
        <v>249</v>
      </c>
      <c r="L10" s="4" t="s">
        <v>308</v>
      </c>
      <c r="M10" s="5" t="s">
        <v>398</v>
      </c>
      <c r="N10" s="4" t="s">
        <v>308</v>
      </c>
      <c r="O10" s="6">
        <f>10</f>
        <v>10</v>
      </c>
      <c r="P10" s="4" t="s">
        <v>267</v>
      </c>
      <c r="Q10" s="6">
        <f>1</f>
        <v>1</v>
      </c>
      <c r="R10" s="6">
        <f>1000000</f>
        <v>1000000</v>
      </c>
      <c r="S10" s="5" t="s">
        <v>397</v>
      </c>
      <c r="T10" s="4" t="s">
        <v>355</v>
      </c>
      <c r="U10" s="4" t="s">
        <v>300</v>
      </c>
      <c r="W10" s="6">
        <f>999999</f>
        <v>999999</v>
      </c>
      <c r="X10" s="4" t="s">
        <v>292</v>
      </c>
      <c r="Y10" s="4" t="s">
        <v>242</v>
      </c>
      <c r="Z10" s="4" t="s">
        <v>306</v>
      </c>
      <c r="AA10" s="4" t="s">
        <v>241</v>
      </c>
      <c r="AD10" s="4" t="s">
        <v>241</v>
      </c>
      <c r="AF10" s="5" t="s">
        <v>241</v>
      </c>
      <c r="AI10" s="5" t="s">
        <v>244</v>
      </c>
      <c r="AJ10" s="4" t="s">
        <v>245</v>
      </c>
      <c r="AK10" s="4" t="s">
        <v>246</v>
      </c>
      <c r="BA10" s="4" t="s">
        <v>247</v>
      </c>
      <c r="BB10" s="4" t="s">
        <v>241</v>
      </c>
      <c r="BC10" s="4" t="s">
        <v>248</v>
      </c>
      <c r="BD10" s="4" t="s">
        <v>241</v>
      </c>
      <c r="BE10" s="4" t="s">
        <v>250</v>
      </c>
      <c r="BF10" s="4" t="s">
        <v>241</v>
      </c>
      <c r="BJ10" s="4" t="s">
        <v>399</v>
      </c>
      <c r="BK10" s="5" t="s">
        <v>244</v>
      </c>
      <c r="BL10" s="4" t="s">
        <v>253</v>
      </c>
      <c r="BM10" s="4" t="s">
        <v>254</v>
      </c>
      <c r="BN10" s="4" t="s">
        <v>241</v>
      </c>
      <c r="BO10" s="6">
        <f>0</f>
        <v>0</v>
      </c>
      <c r="BP10" s="6">
        <f>0</f>
        <v>0</v>
      </c>
      <c r="BQ10" s="4" t="s">
        <v>255</v>
      </c>
      <c r="BR10" s="4" t="s">
        <v>256</v>
      </c>
      <c r="CF10" s="4" t="s">
        <v>241</v>
      </c>
      <c r="CG10" s="4" t="s">
        <v>241</v>
      </c>
      <c r="CK10" s="4" t="s">
        <v>257</v>
      </c>
      <c r="CL10" s="4" t="s">
        <v>258</v>
      </c>
      <c r="CM10" s="4" t="s">
        <v>241</v>
      </c>
      <c r="CO10" s="4" t="s">
        <v>400</v>
      </c>
      <c r="CP10" s="5" t="s">
        <v>260</v>
      </c>
      <c r="CQ10" s="4" t="s">
        <v>261</v>
      </c>
      <c r="CR10" s="4" t="s">
        <v>262</v>
      </c>
      <c r="CS10" s="4" t="s">
        <v>241</v>
      </c>
      <c r="CT10" s="4" t="s">
        <v>241</v>
      </c>
      <c r="CU10" s="4">
        <v>0</v>
      </c>
      <c r="CV10" s="4" t="s">
        <v>298</v>
      </c>
      <c r="CW10" s="4" t="s">
        <v>299</v>
      </c>
      <c r="CX10" s="4" t="s">
        <v>354</v>
      </c>
      <c r="CZ10" s="6">
        <f>1000000</f>
        <v>1000000</v>
      </c>
      <c r="DA10" s="6">
        <f>0</f>
        <v>0</v>
      </c>
      <c r="DC10" s="4" t="s">
        <v>241</v>
      </c>
      <c r="DD10" s="4" t="s">
        <v>241</v>
      </c>
      <c r="DF10" s="4" t="s">
        <v>241</v>
      </c>
      <c r="DI10" s="4" t="s">
        <v>241</v>
      </c>
      <c r="DJ10" s="4" t="s">
        <v>241</v>
      </c>
      <c r="DK10" s="4" t="s">
        <v>241</v>
      </c>
      <c r="DL10" s="4" t="s">
        <v>241</v>
      </c>
      <c r="DM10" s="4" t="s">
        <v>268</v>
      </c>
      <c r="DN10" s="4" t="s">
        <v>269</v>
      </c>
      <c r="DO10" s="6">
        <f>10</f>
        <v>10</v>
      </c>
      <c r="DP10" s="4" t="s">
        <v>241</v>
      </c>
      <c r="DQ10" s="4" t="s">
        <v>241</v>
      </c>
      <c r="DR10" s="4" t="s">
        <v>241</v>
      </c>
      <c r="DS10" s="4" t="s">
        <v>241</v>
      </c>
      <c r="DV10" s="4" t="s">
        <v>401</v>
      </c>
      <c r="DW10" s="4" t="s">
        <v>268</v>
      </c>
      <c r="HO10" s="4" t="s">
        <v>268</v>
      </c>
      <c r="HR10" s="4" t="s">
        <v>269</v>
      </c>
      <c r="HS10" s="4" t="s">
        <v>269</v>
      </c>
    </row>
    <row r="11" spans="1:240" x14ac:dyDescent="0.4">
      <c r="A11" s="4">
        <v>2</v>
      </c>
      <c r="B11" s="4" t="s">
        <v>239</v>
      </c>
      <c r="C11" s="4">
        <v>1088</v>
      </c>
      <c r="D11" s="4">
        <v>1</v>
      </c>
      <c r="E11" s="4">
        <v>3</v>
      </c>
      <c r="F11" s="4" t="s">
        <v>240</v>
      </c>
      <c r="G11" s="4" t="s">
        <v>241</v>
      </c>
      <c r="H11" s="4" t="s">
        <v>241</v>
      </c>
      <c r="I11" s="4" t="s">
        <v>366</v>
      </c>
      <c r="J11" s="4" t="s">
        <v>317</v>
      </c>
      <c r="K11" s="4" t="s">
        <v>249</v>
      </c>
      <c r="L11" s="4" t="s">
        <v>308</v>
      </c>
      <c r="M11" s="5" t="s">
        <v>368</v>
      </c>
      <c r="N11" s="4" t="s">
        <v>308</v>
      </c>
      <c r="O11" s="6">
        <f>46.8</f>
        <v>46.8</v>
      </c>
      <c r="P11" s="4" t="s">
        <v>267</v>
      </c>
      <c r="Q11" s="6">
        <f>1</f>
        <v>1</v>
      </c>
      <c r="R11" s="6">
        <f>12916800</f>
        <v>12916800</v>
      </c>
      <c r="S11" s="5" t="s">
        <v>367</v>
      </c>
      <c r="T11" s="4" t="s">
        <v>322</v>
      </c>
      <c r="U11" s="4" t="s">
        <v>323</v>
      </c>
      <c r="V11" s="6">
        <f>800849</f>
        <v>800849</v>
      </c>
      <c r="W11" s="6">
        <f>12916799</f>
        <v>12916799</v>
      </c>
      <c r="X11" s="4" t="s">
        <v>292</v>
      </c>
      <c r="Y11" s="4" t="s">
        <v>242</v>
      </c>
      <c r="Z11" s="4" t="s">
        <v>306</v>
      </c>
      <c r="AA11" s="4" t="s">
        <v>241</v>
      </c>
      <c r="AD11" s="4" t="s">
        <v>241</v>
      </c>
      <c r="AE11" s="5" t="s">
        <v>241</v>
      </c>
      <c r="AF11" s="5" t="s">
        <v>241</v>
      </c>
      <c r="AH11" s="5" t="s">
        <v>241</v>
      </c>
      <c r="AI11" s="5" t="s">
        <v>244</v>
      </c>
      <c r="AJ11" s="4" t="s">
        <v>245</v>
      </c>
      <c r="AK11" s="4" t="s">
        <v>246</v>
      </c>
      <c r="AQ11" s="4" t="s">
        <v>241</v>
      </c>
      <c r="AR11" s="4" t="s">
        <v>241</v>
      </c>
      <c r="AS11" s="4" t="s">
        <v>241</v>
      </c>
      <c r="AT11" s="5" t="s">
        <v>241</v>
      </c>
      <c r="AU11" s="5" t="s">
        <v>241</v>
      </c>
      <c r="AV11" s="5" t="s">
        <v>241</v>
      </c>
      <c r="AY11" s="4" t="s">
        <v>271</v>
      </c>
      <c r="AZ11" s="4" t="s">
        <v>271</v>
      </c>
      <c r="BA11" s="4" t="s">
        <v>247</v>
      </c>
      <c r="BB11" s="4" t="s">
        <v>272</v>
      </c>
      <c r="BC11" s="4" t="s">
        <v>248</v>
      </c>
      <c r="BD11" s="4" t="s">
        <v>241</v>
      </c>
      <c r="BE11" s="4" t="s">
        <v>250</v>
      </c>
      <c r="BF11" s="4" t="s">
        <v>241</v>
      </c>
      <c r="BJ11" s="4" t="s">
        <v>273</v>
      </c>
      <c r="BK11" s="5" t="s">
        <v>274</v>
      </c>
      <c r="BL11" s="4" t="s">
        <v>275</v>
      </c>
      <c r="BM11" s="4" t="s">
        <v>275</v>
      </c>
      <c r="BN11" s="4" t="s">
        <v>241</v>
      </c>
      <c r="BO11" s="6">
        <f>0</f>
        <v>0</v>
      </c>
      <c r="BP11" s="6">
        <f>-800849</f>
        <v>-800849</v>
      </c>
      <c r="BQ11" s="4" t="s">
        <v>255</v>
      </c>
      <c r="BR11" s="4" t="s">
        <v>256</v>
      </c>
      <c r="BS11" s="4" t="s">
        <v>241</v>
      </c>
      <c r="BT11" s="4" t="s">
        <v>241</v>
      </c>
      <c r="BU11" s="4" t="s">
        <v>241</v>
      </c>
      <c r="BV11" s="4" t="s">
        <v>241</v>
      </c>
      <c r="CE11" s="4" t="s">
        <v>256</v>
      </c>
      <c r="CF11" s="4" t="s">
        <v>241</v>
      </c>
      <c r="CG11" s="4" t="s">
        <v>241</v>
      </c>
      <c r="CK11" s="4" t="s">
        <v>276</v>
      </c>
      <c r="CL11" s="4" t="s">
        <v>258</v>
      </c>
      <c r="CM11" s="4" t="s">
        <v>241</v>
      </c>
      <c r="CO11" s="4" t="s">
        <v>320</v>
      </c>
      <c r="CP11" s="5" t="s">
        <v>260</v>
      </c>
      <c r="CQ11" s="4" t="s">
        <v>261</v>
      </c>
      <c r="CR11" s="4" t="s">
        <v>262</v>
      </c>
      <c r="CS11" s="4" t="s">
        <v>278</v>
      </c>
      <c r="CT11" s="4" t="s">
        <v>241</v>
      </c>
      <c r="CU11" s="4">
        <v>6.7000000000000004E-2</v>
      </c>
      <c r="CV11" s="4" t="s">
        <v>298</v>
      </c>
      <c r="CW11" s="4" t="s">
        <v>299</v>
      </c>
      <c r="CX11" s="4" t="s">
        <v>321</v>
      </c>
      <c r="CY11" s="6">
        <f>0</f>
        <v>0</v>
      </c>
      <c r="CZ11" s="6">
        <f>12916800</f>
        <v>12916800</v>
      </c>
      <c r="DA11" s="6">
        <f>1</f>
        <v>1</v>
      </c>
      <c r="DC11" s="4" t="s">
        <v>241</v>
      </c>
      <c r="DD11" s="4" t="s">
        <v>241</v>
      </c>
      <c r="DF11" s="4" t="s">
        <v>241</v>
      </c>
      <c r="DG11" s="6">
        <f>0</f>
        <v>0</v>
      </c>
      <c r="DI11" s="4" t="s">
        <v>241</v>
      </c>
      <c r="DJ11" s="4" t="s">
        <v>241</v>
      </c>
      <c r="DK11" s="4" t="s">
        <v>241</v>
      </c>
      <c r="DL11" s="4" t="s">
        <v>241</v>
      </c>
      <c r="DM11" s="4" t="s">
        <v>268</v>
      </c>
      <c r="DN11" s="4" t="s">
        <v>269</v>
      </c>
      <c r="DO11" s="6">
        <f>46.8</f>
        <v>46.8</v>
      </c>
      <c r="DP11" s="4" t="s">
        <v>241</v>
      </c>
      <c r="DQ11" s="4" t="s">
        <v>241</v>
      </c>
      <c r="DR11" s="4" t="s">
        <v>241</v>
      </c>
      <c r="DS11" s="4" t="s">
        <v>241</v>
      </c>
      <c r="DV11" s="4" t="s">
        <v>369</v>
      </c>
      <c r="DW11" s="4" t="s">
        <v>268</v>
      </c>
      <c r="GN11" s="4" t="s">
        <v>370</v>
      </c>
      <c r="HO11" s="4" t="s">
        <v>282</v>
      </c>
      <c r="HR11" s="4" t="s">
        <v>269</v>
      </c>
      <c r="HS11" s="4" t="s">
        <v>269</v>
      </c>
      <c r="HT11" s="4" t="s">
        <v>241</v>
      </c>
      <c r="HU11" s="4" t="s">
        <v>241</v>
      </c>
      <c r="HV11" s="4" t="s">
        <v>241</v>
      </c>
      <c r="HW11" s="4" t="s">
        <v>241</v>
      </c>
      <c r="HX11" s="4" t="s">
        <v>241</v>
      </c>
      <c r="HY11" s="4" t="s">
        <v>241</v>
      </c>
      <c r="HZ11" s="4" t="s">
        <v>241</v>
      </c>
      <c r="IA11" s="4" t="s">
        <v>241</v>
      </c>
      <c r="IB11" s="4" t="s">
        <v>241</v>
      </c>
      <c r="IC11" s="4" t="s">
        <v>241</v>
      </c>
      <c r="ID11" s="4" t="s">
        <v>241</v>
      </c>
      <c r="IE11" s="4" t="s">
        <v>241</v>
      </c>
      <c r="IF11" s="4" t="s">
        <v>241</v>
      </c>
    </row>
    <row r="12" spans="1:240" x14ac:dyDescent="0.4">
      <c r="A12" s="4">
        <v>2</v>
      </c>
      <c r="B12" s="4" t="s">
        <v>239</v>
      </c>
      <c r="C12" s="4">
        <v>1089</v>
      </c>
      <c r="D12" s="4">
        <v>1</v>
      </c>
      <c r="E12" s="4">
        <v>3</v>
      </c>
      <c r="F12" s="4" t="s">
        <v>240</v>
      </c>
      <c r="G12" s="4" t="s">
        <v>241</v>
      </c>
      <c r="H12" s="4" t="s">
        <v>241</v>
      </c>
      <c r="I12" s="4" t="s">
        <v>758</v>
      </c>
      <c r="J12" s="4" t="s">
        <v>608</v>
      </c>
      <c r="K12" s="4" t="s">
        <v>249</v>
      </c>
      <c r="L12" s="4" t="s">
        <v>706</v>
      </c>
      <c r="M12" s="5" t="s">
        <v>759</v>
      </c>
      <c r="N12" s="4" t="s">
        <v>709</v>
      </c>
      <c r="O12" s="6">
        <f>165</f>
        <v>165</v>
      </c>
      <c r="P12" s="4" t="s">
        <v>267</v>
      </c>
      <c r="Q12" s="6">
        <f>14259300</f>
        <v>14259300</v>
      </c>
      <c r="R12" s="6">
        <f>47850000</f>
        <v>47850000</v>
      </c>
      <c r="S12" s="5" t="s">
        <v>708</v>
      </c>
      <c r="T12" s="4" t="s">
        <v>300</v>
      </c>
      <c r="U12" s="4" t="s">
        <v>538</v>
      </c>
      <c r="V12" s="6">
        <f>1291950</f>
        <v>1291950</v>
      </c>
      <c r="W12" s="6">
        <f>33590700</f>
        <v>33590700</v>
      </c>
      <c r="X12" s="4" t="s">
        <v>292</v>
      </c>
      <c r="Y12" s="4" t="s">
        <v>242</v>
      </c>
      <c r="Z12" s="4" t="s">
        <v>306</v>
      </c>
      <c r="AA12" s="4" t="s">
        <v>241</v>
      </c>
      <c r="AD12" s="4" t="s">
        <v>241</v>
      </c>
      <c r="AE12" s="5" t="s">
        <v>241</v>
      </c>
      <c r="AF12" s="5" t="s">
        <v>241</v>
      </c>
      <c r="AH12" s="5" t="s">
        <v>241</v>
      </c>
      <c r="AI12" s="5" t="s">
        <v>244</v>
      </c>
      <c r="AJ12" s="4" t="s">
        <v>245</v>
      </c>
      <c r="AK12" s="4" t="s">
        <v>246</v>
      </c>
      <c r="AQ12" s="4" t="s">
        <v>241</v>
      </c>
      <c r="AR12" s="4" t="s">
        <v>241</v>
      </c>
      <c r="AS12" s="4" t="s">
        <v>241</v>
      </c>
      <c r="AT12" s="5" t="s">
        <v>241</v>
      </c>
      <c r="AU12" s="5" t="s">
        <v>241</v>
      </c>
      <c r="AV12" s="5" t="s">
        <v>241</v>
      </c>
      <c r="AY12" s="4" t="s">
        <v>271</v>
      </c>
      <c r="AZ12" s="4" t="s">
        <v>271</v>
      </c>
      <c r="BA12" s="4" t="s">
        <v>247</v>
      </c>
      <c r="BB12" s="4" t="s">
        <v>272</v>
      </c>
      <c r="BC12" s="4" t="s">
        <v>248</v>
      </c>
      <c r="BD12" s="4" t="s">
        <v>241</v>
      </c>
      <c r="BE12" s="4" t="s">
        <v>250</v>
      </c>
      <c r="BF12" s="4" t="s">
        <v>241</v>
      </c>
      <c r="BJ12" s="4" t="s">
        <v>273</v>
      </c>
      <c r="BK12" s="5" t="s">
        <v>274</v>
      </c>
      <c r="BL12" s="4" t="s">
        <v>275</v>
      </c>
      <c r="BM12" s="4" t="s">
        <v>275</v>
      </c>
      <c r="BN12" s="4" t="s">
        <v>241</v>
      </c>
      <c r="BO12" s="6">
        <f>0</f>
        <v>0</v>
      </c>
      <c r="BP12" s="6">
        <f>-1291950</f>
        <v>-1291950</v>
      </c>
      <c r="BQ12" s="4" t="s">
        <v>255</v>
      </c>
      <c r="BR12" s="4" t="s">
        <v>256</v>
      </c>
      <c r="BS12" s="4" t="s">
        <v>241</v>
      </c>
      <c r="BT12" s="4" t="s">
        <v>241</v>
      </c>
      <c r="BU12" s="4" t="s">
        <v>241</v>
      </c>
      <c r="BV12" s="4" t="s">
        <v>241</v>
      </c>
      <c r="CE12" s="4" t="s">
        <v>256</v>
      </c>
      <c r="CF12" s="4" t="s">
        <v>241</v>
      </c>
      <c r="CG12" s="4" t="s">
        <v>241</v>
      </c>
      <c r="CK12" s="4" t="s">
        <v>276</v>
      </c>
      <c r="CL12" s="4" t="s">
        <v>258</v>
      </c>
      <c r="CM12" s="4" t="s">
        <v>241</v>
      </c>
      <c r="CO12" s="4" t="s">
        <v>470</v>
      </c>
      <c r="CP12" s="5" t="s">
        <v>260</v>
      </c>
      <c r="CQ12" s="4" t="s">
        <v>261</v>
      </c>
      <c r="CR12" s="4" t="s">
        <v>262</v>
      </c>
      <c r="CS12" s="4" t="s">
        <v>278</v>
      </c>
      <c r="CT12" s="4" t="s">
        <v>241</v>
      </c>
      <c r="CU12" s="4">
        <v>2.7E-2</v>
      </c>
      <c r="CV12" s="4" t="s">
        <v>298</v>
      </c>
      <c r="CW12" s="4" t="s">
        <v>705</v>
      </c>
      <c r="CX12" s="4" t="s">
        <v>683</v>
      </c>
      <c r="CY12" s="6">
        <f>0</f>
        <v>0</v>
      </c>
      <c r="CZ12" s="6">
        <f>47850000</f>
        <v>47850000</v>
      </c>
      <c r="DA12" s="6">
        <f>14259300</f>
        <v>14259300</v>
      </c>
      <c r="DC12" s="4" t="s">
        <v>241</v>
      </c>
      <c r="DD12" s="4" t="s">
        <v>241</v>
      </c>
      <c r="DF12" s="4" t="s">
        <v>241</v>
      </c>
      <c r="DG12" s="6">
        <f>0</f>
        <v>0</v>
      </c>
      <c r="DI12" s="4" t="s">
        <v>241</v>
      </c>
      <c r="DJ12" s="4" t="s">
        <v>241</v>
      </c>
      <c r="DK12" s="4" t="s">
        <v>241</v>
      </c>
      <c r="DL12" s="4" t="s">
        <v>241</v>
      </c>
      <c r="DM12" s="4" t="s">
        <v>268</v>
      </c>
      <c r="DN12" s="4" t="s">
        <v>269</v>
      </c>
      <c r="DO12" s="6">
        <f>165</f>
        <v>165</v>
      </c>
      <c r="DP12" s="4" t="s">
        <v>241</v>
      </c>
      <c r="DQ12" s="4" t="s">
        <v>241</v>
      </c>
      <c r="DR12" s="4" t="s">
        <v>241</v>
      </c>
      <c r="DS12" s="4" t="s">
        <v>241</v>
      </c>
      <c r="DV12" s="4" t="s">
        <v>760</v>
      </c>
      <c r="DW12" s="4" t="s">
        <v>268</v>
      </c>
      <c r="GN12" s="4" t="s">
        <v>761</v>
      </c>
      <c r="HO12" s="4" t="s">
        <v>282</v>
      </c>
      <c r="HR12" s="4" t="s">
        <v>269</v>
      </c>
      <c r="HS12" s="4" t="s">
        <v>269</v>
      </c>
      <c r="HT12" s="4" t="s">
        <v>241</v>
      </c>
      <c r="HU12" s="4" t="s">
        <v>241</v>
      </c>
      <c r="HV12" s="4" t="s">
        <v>241</v>
      </c>
      <c r="HW12" s="4" t="s">
        <v>241</v>
      </c>
      <c r="HX12" s="4" t="s">
        <v>241</v>
      </c>
      <c r="HY12" s="4" t="s">
        <v>241</v>
      </c>
      <c r="HZ12" s="4" t="s">
        <v>241</v>
      </c>
      <c r="IA12" s="4" t="s">
        <v>241</v>
      </c>
      <c r="IB12" s="4" t="s">
        <v>241</v>
      </c>
      <c r="IC12" s="4" t="s">
        <v>241</v>
      </c>
      <c r="ID12" s="4" t="s">
        <v>241</v>
      </c>
      <c r="IE12" s="4" t="s">
        <v>241</v>
      </c>
      <c r="IF12" s="4" t="s">
        <v>241</v>
      </c>
    </row>
    <row r="13" spans="1:240" x14ac:dyDescent="0.4">
      <c r="A13" s="4">
        <v>2</v>
      </c>
      <c r="B13" s="4" t="s">
        <v>239</v>
      </c>
      <c r="C13" s="4">
        <v>1090</v>
      </c>
      <c r="D13" s="4">
        <v>1</v>
      </c>
      <c r="E13" s="4">
        <v>3</v>
      </c>
      <c r="F13" s="4" t="s">
        <v>240</v>
      </c>
      <c r="G13" s="4" t="s">
        <v>241</v>
      </c>
      <c r="H13" s="4" t="s">
        <v>241</v>
      </c>
      <c r="I13" s="4" t="s">
        <v>359</v>
      </c>
      <c r="J13" s="4" t="s">
        <v>317</v>
      </c>
      <c r="K13" s="4" t="s">
        <v>249</v>
      </c>
      <c r="L13" s="4" t="s">
        <v>308</v>
      </c>
      <c r="M13" s="5" t="s">
        <v>361</v>
      </c>
      <c r="N13" s="4" t="s">
        <v>308</v>
      </c>
      <c r="O13" s="6">
        <f>42.19</f>
        <v>42.19</v>
      </c>
      <c r="P13" s="4" t="s">
        <v>267</v>
      </c>
      <c r="Q13" s="6">
        <f>10071944</f>
        <v>10071944</v>
      </c>
      <c r="R13" s="6">
        <f>24807720</f>
        <v>24807720</v>
      </c>
      <c r="S13" s="5" t="s">
        <v>360</v>
      </c>
      <c r="T13" s="4" t="s">
        <v>300</v>
      </c>
      <c r="U13" s="4" t="s">
        <v>363</v>
      </c>
      <c r="V13" s="6">
        <f>669808</f>
        <v>669808</v>
      </c>
      <c r="W13" s="6">
        <f>14735776</f>
        <v>14735776</v>
      </c>
      <c r="X13" s="4" t="s">
        <v>292</v>
      </c>
      <c r="Y13" s="4" t="s">
        <v>242</v>
      </c>
      <c r="Z13" s="4" t="s">
        <v>306</v>
      </c>
      <c r="AA13" s="4" t="s">
        <v>241</v>
      </c>
      <c r="AD13" s="4" t="s">
        <v>241</v>
      </c>
      <c r="AE13" s="5" t="s">
        <v>241</v>
      </c>
      <c r="AF13" s="5" t="s">
        <v>241</v>
      </c>
      <c r="AH13" s="5" t="s">
        <v>241</v>
      </c>
      <c r="AI13" s="5" t="s">
        <v>244</v>
      </c>
      <c r="AJ13" s="4" t="s">
        <v>245</v>
      </c>
      <c r="AK13" s="4" t="s">
        <v>246</v>
      </c>
      <c r="AQ13" s="4" t="s">
        <v>241</v>
      </c>
      <c r="AR13" s="4" t="s">
        <v>241</v>
      </c>
      <c r="AS13" s="4" t="s">
        <v>241</v>
      </c>
      <c r="AT13" s="5" t="s">
        <v>241</v>
      </c>
      <c r="AU13" s="5" t="s">
        <v>241</v>
      </c>
      <c r="AV13" s="5" t="s">
        <v>241</v>
      </c>
      <c r="AY13" s="4" t="s">
        <v>271</v>
      </c>
      <c r="AZ13" s="4" t="s">
        <v>271</v>
      </c>
      <c r="BA13" s="4" t="s">
        <v>247</v>
      </c>
      <c r="BB13" s="4" t="s">
        <v>272</v>
      </c>
      <c r="BC13" s="4" t="s">
        <v>248</v>
      </c>
      <c r="BD13" s="4" t="s">
        <v>241</v>
      </c>
      <c r="BE13" s="4" t="s">
        <v>250</v>
      </c>
      <c r="BF13" s="4" t="s">
        <v>241</v>
      </c>
      <c r="BJ13" s="4" t="s">
        <v>273</v>
      </c>
      <c r="BK13" s="5" t="s">
        <v>274</v>
      </c>
      <c r="BL13" s="4" t="s">
        <v>275</v>
      </c>
      <c r="BM13" s="4" t="s">
        <v>275</v>
      </c>
      <c r="BN13" s="4" t="s">
        <v>241</v>
      </c>
      <c r="BO13" s="6">
        <f>0</f>
        <v>0</v>
      </c>
      <c r="BP13" s="6">
        <f>-669808</f>
        <v>-669808</v>
      </c>
      <c r="BQ13" s="4" t="s">
        <v>255</v>
      </c>
      <c r="BR13" s="4" t="s">
        <v>256</v>
      </c>
      <c r="BS13" s="4" t="s">
        <v>241</v>
      </c>
      <c r="BT13" s="4" t="s">
        <v>241</v>
      </c>
      <c r="BU13" s="4" t="s">
        <v>241</v>
      </c>
      <c r="BV13" s="4" t="s">
        <v>241</v>
      </c>
      <c r="CE13" s="4" t="s">
        <v>256</v>
      </c>
      <c r="CF13" s="4" t="s">
        <v>241</v>
      </c>
      <c r="CG13" s="4" t="s">
        <v>241</v>
      </c>
      <c r="CK13" s="4" t="s">
        <v>276</v>
      </c>
      <c r="CL13" s="4" t="s">
        <v>258</v>
      </c>
      <c r="CM13" s="4" t="s">
        <v>241</v>
      </c>
      <c r="CO13" s="4" t="s">
        <v>362</v>
      </c>
      <c r="CP13" s="5" t="s">
        <v>260</v>
      </c>
      <c r="CQ13" s="4" t="s">
        <v>261</v>
      </c>
      <c r="CR13" s="4" t="s">
        <v>262</v>
      </c>
      <c r="CS13" s="4" t="s">
        <v>278</v>
      </c>
      <c r="CT13" s="4" t="s">
        <v>241</v>
      </c>
      <c r="CU13" s="4">
        <v>2.7E-2</v>
      </c>
      <c r="CV13" s="4" t="s">
        <v>298</v>
      </c>
      <c r="CW13" s="4" t="s">
        <v>299</v>
      </c>
      <c r="CX13" s="4" t="s">
        <v>279</v>
      </c>
      <c r="CY13" s="6">
        <f>0</f>
        <v>0</v>
      </c>
      <c r="CZ13" s="6">
        <f>24807720</f>
        <v>24807720</v>
      </c>
      <c r="DA13" s="6">
        <f>10071944</f>
        <v>10071944</v>
      </c>
      <c r="DC13" s="4" t="s">
        <v>241</v>
      </c>
      <c r="DD13" s="4" t="s">
        <v>241</v>
      </c>
      <c r="DF13" s="4" t="s">
        <v>241</v>
      </c>
      <c r="DG13" s="6">
        <f>0</f>
        <v>0</v>
      </c>
      <c r="DI13" s="4" t="s">
        <v>241</v>
      </c>
      <c r="DJ13" s="4" t="s">
        <v>241</v>
      </c>
      <c r="DK13" s="4" t="s">
        <v>241</v>
      </c>
      <c r="DL13" s="4" t="s">
        <v>241</v>
      </c>
      <c r="DM13" s="4" t="s">
        <v>268</v>
      </c>
      <c r="DN13" s="4" t="s">
        <v>269</v>
      </c>
      <c r="DO13" s="6">
        <f>42.19</f>
        <v>42.19</v>
      </c>
      <c r="DP13" s="4" t="s">
        <v>241</v>
      </c>
      <c r="DQ13" s="4" t="s">
        <v>241</v>
      </c>
      <c r="DR13" s="4" t="s">
        <v>241</v>
      </c>
      <c r="DS13" s="4" t="s">
        <v>241</v>
      </c>
      <c r="DV13" s="4" t="s">
        <v>364</v>
      </c>
      <c r="DW13" s="4" t="s">
        <v>268</v>
      </c>
      <c r="GN13" s="4" t="s">
        <v>365</v>
      </c>
      <c r="HO13" s="4" t="s">
        <v>282</v>
      </c>
      <c r="HR13" s="4" t="s">
        <v>269</v>
      </c>
      <c r="HS13" s="4" t="s">
        <v>269</v>
      </c>
      <c r="HT13" s="4" t="s">
        <v>241</v>
      </c>
      <c r="HU13" s="4" t="s">
        <v>241</v>
      </c>
      <c r="HV13" s="4" t="s">
        <v>241</v>
      </c>
      <c r="HW13" s="4" t="s">
        <v>241</v>
      </c>
      <c r="HX13" s="4" t="s">
        <v>241</v>
      </c>
      <c r="HY13" s="4" t="s">
        <v>241</v>
      </c>
      <c r="HZ13" s="4" t="s">
        <v>241</v>
      </c>
      <c r="IA13" s="4" t="s">
        <v>241</v>
      </c>
      <c r="IB13" s="4" t="s">
        <v>241</v>
      </c>
      <c r="IC13" s="4" t="s">
        <v>241</v>
      </c>
      <c r="ID13" s="4" t="s">
        <v>241</v>
      </c>
      <c r="IE13" s="4" t="s">
        <v>241</v>
      </c>
      <c r="IF13" s="4" t="s">
        <v>241</v>
      </c>
    </row>
    <row r="14" spans="1:240" x14ac:dyDescent="0.4">
      <c r="A14" s="4">
        <v>2</v>
      </c>
      <c r="B14" s="4" t="s">
        <v>239</v>
      </c>
      <c r="C14" s="4">
        <v>1091</v>
      </c>
      <c r="D14" s="4">
        <v>1</v>
      </c>
      <c r="E14" s="4">
        <v>3</v>
      </c>
      <c r="F14" s="4" t="s">
        <v>240</v>
      </c>
      <c r="G14" s="4" t="s">
        <v>241</v>
      </c>
      <c r="H14" s="4" t="s">
        <v>241</v>
      </c>
      <c r="I14" s="4" t="s">
        <v>566</v>
      </c>
      <c r="J14" s="4" t="s">
        <v>317</v>
      </c>
      <c r="K14" s="4" t="s">
        <v>249</v>
      </c>
      <c r="L14" s="4" t="s">
        <v>308</v>
      </c>
      <c r="M14" s="5" t="s">
        <v>568</v>
      </c>
      <c r="N14" s="4" t="s">
        <v>402</v>
      </c>
      <c r="O14" s="6">
        <f>5</f>
        <v>5</v>
      </c>
      <c r="P14" s="4" t="s">
        <v>267</v>
      </c>
      <c r="Q14" s="6">
        <f>1200517</f>
        <v>1200517</v>
      </c>
      <c r="R14" s="6">
        <f>4197600</f>
        <v>4197600</v>
      </c>
      <c r="S14" s="5" t="s">
        <v>567</v>
      </c>
      <c r="T14" s="4" t="s">
        <v>265</v>
      </c>
      <c r="U14" s="4" t="s">
        <v>408</v>
      </c>
      <c r="V14" s="6">
        <f>176299</f>
        <v>176299</v>
      </c>
      <c r="W14" s="6">
        <f>2997083</f>
        <v>2997083</v>
      </c>
      <c r="X14" s="4" t="s">
        <v>292</v>
      </c>
      <c r="Y14" s="4" t="s">
        <v>242</v>
      </c>
      <c r="Z14" s="4" t="s">
        <v>306</v>
      </c>
      <c r="AA14" s="4" t="s">
        <v>241</v>
      </c>
      <c r="AD14" s="4" t="s">
        <v>241</v>
      </c>
      <c r="AE14" s="5" t="s">
        <v>241</v>
      </c>
      <c r="AF14" s="5" t="s">
        <v>241</v>
      </c>
      <c r="AH14" s="5" t="s">
        <v>241</v>
      </c>
      <c r="AI14" s="5" t="s">
        <v>405</v>
      </c>
      <c r="AJ14" s="4" t="s">
        <v>245</v>
      </c>
      <c r="AK14" s="4" t="s">
        <v>246</v>
      </c>
      <c r="AQ14" s="4" t="s">
        <v>241</v>
      </c>
      <c r="AR14" s="4" t="s">
        <v>241</v>
      </c>
      <c r="AS14" s="4" t="s">
        <v>241</v>
      </c>
      <c r="AT14" s="5" t="s">
        <v>241</v>
      </c>
      <c r="AU14" s="5" t="s">
        <v>241</v>
      </c>
      <c r="AV14" s="5" t="s">
        <v>241</v>
      </c>
      <c r="AY14" s="4" t="s">
        <v>271</v>
      </c>
      <c r="AZ14" s="4" t="s">
        <v>271</v>
      </c>
      <c r="BA14" s="4" t="s">
        <v>247</v>
      </c>
      <c r="BB14" s="4" t="s">
        <v>272</v>
      </c>
      <c r="BC14" s="4" t="s">
        <v>248</v>
      </c>
      <c r="BD14" s="4" t="s">
        <v>241</v>
      </c>
      <c r="BE14" s="4" t="s">
        <v>250</v>
      </c>
      <c r="BF14" s="4" t="s">
        <v>241</v>
      </c>
      <c r="BJ14" s="4" t="s">
        <v>273</v>
      </c>
      <c r="BK14" s="5" t="s">
        <v>274</v>
      </c>
      <c r="BL14" s="4" t="s">
        <v>275</v>
      </c>
      <c r="BM14" s="4" t="s">
        <v>275</v>
      </c>
      <c r="BN14" s="4" t="s">
        <v>241</v>
      </c>
      <c r="BO14" s="6">
        <f>0</f>
        <v>0</v>
      </c>
      <c r="BP14" s="6">
        <f>-176299</f>
        <v>-176299</v>
      </c>
      <c r="BQ14" s="4" t="s">
        <v>255</v>
      </c>
      <c r="BR14" s="4" t="s">
        <v>256</v>
      </c>
      <c r="BS14" s="4" t="s">
        <v>241</v>
      </c>
      <c r="BT14" s="4" t="s">
        <v>241</v>
      </c>
      <c r="BU14" s="4" t="s">
        <v>241</v>
      </c>
      <c r="BV14" s="4" t="s">
        <v>241</v>
      </c>
      <c r="CE14" s="4" t="s">
        <v>256</v>
      </c>
      <c r="CF14" s="4" t="s">
        <v>241</v>
      </c>
      <c r="CG14" s="4" t="s">
        <v>241</v>
      </c>
      <c r="CK14" s="4" t="s">
        <v>276</v>
      </c>
      <c r="CL14" s="4" t="s">
        <v>258</v>
      </c>
      <c r="CM14" s="4" t="s">
        <v>241</v>
      </c>
      <c r="CO14" s="4" t="s">
        <v>569</v>
      </c>
      <c r="CP14" s="5" t="s">
        <v>260</v>
      </c>
      <c r="CQ14" s="4" t="s">
        <v>261</v>
      </c>
      <c r="CR14" s="4" t="s">
        <v>262</v>
      </c>
      <c r="CS14" s="4" t="s">
        <v>278</v>
      </c>
      <c r="CT14" s="4" t="s">
        <v>241</v>
      </c>
      <c r="CU14" s="4">
        <v>4.2000000000000003E-2</v>
      </c>
      <c r="CV14" s="4" t="s">
        <v>298</v>
      </c>
      <c r="CW14" s="4" t="s">
        <v>299</v>
      </c>
      <c r="CX14" s="4" t="s">
        <v>264</v>
      </c>
      <c r="CY14" s="6">
        <f>0</f>
        <v>0</v>
      </c>
      <c r="CZ14" s="6">
        <f>4197600</f>
        <v>4197600</v>
      </c>
      <c r="DA14" s="6">
        <f>1200517</f>
        <v>1200517</v>
      </c>
      <c r="DC14" s="4" t="s">
        <v>241</v>
      </c>
      <c r="DD14" s="4" t="s">
        <v>241</v>
      </c>
      <c r="DF14" s="4" t="s">
        <v>241</v>
      </c>
      <c r="DG14" s="6">
        <f>0</f>
        <v>0</v>
      </c>
      <c r="DI14" s="4" t="s">
        <v>241</v>
      </c>
      <c r="DJ14" s="4" t="s">
        <v>241</v>
      </c>
      <c r="DK14" s="4" t="s">
        <v>241</v>
      </c>
      <c r="DL14" s="4" t="s">
        <v>241</v>
      </c>
      <c r="DM14" s="4" t="s">
        <v>268</v>
      </c>
      <c r="DN14" s="4" t="s">
        <v>269</v>
      </c>
      <c r="DO14" s="6">
        <f>5</f>
        <v>5</v>
      </c>
      <c r="DP14" s="4" t="s">
        <v>241</v>
      </c>
      <c r="DQ14" s="4" t="s">
        <v>241</v>
      </c>
      <c r="DR14" s="4" t="s">
        <v>241</v>
      </c>
      <c r="DS14" s="4" t="s">
        <v>241</v>
      </c>
      <c r="DV14" s="4" t="s">
        <v>570</v>
      </c>
      <c r="DW14" s="4" t="s">
        <v>268</v>
      </c>
      <c r="GN14" s="4" t="s">
        <v>571</v>
      </c>
      <c r="HO14" s="4" t="s">
        <v>282</v>
      </c>
      <c r="HR14" s="4" t="s">
        <v>269</v>
      </c>
      <c r="HS14" s="4" t="s">
        <v>269</v>
      </c>
      <c r="HT14" s="4" t="s">
        <v>241</v>
      </c>
      <c r="HU14" s="4" t="s">
        <v>241</v>
      </c>
      <c r="HV14" s="4" t="s">
        <v>241</v>
      </c>
      <c r="HW14" s="4" t="s">
        <v>241</v>
      </c>
      <c r="HX14" s="4" t="s">
        <v>241</v>
      </c>
      <c r="HY14" s="4" t="s">
        <v>241</v>
      </c>
      <c r="HZ14" s="4" t="s">
        <v>241</v>
      </c>
      <c r="IA14" s="4" t="s">
        <v>241</v>
      </c>
      <c r="IB14" s="4" t="s">
        <v>241</v>
      </c>
      <c r="IC14" s="4" t="s">
        <v>241</v>
      </c>
      <c r="ID14" s="4" t="s">
        <v>241</v>
      </c>
      <c r="IE14" s="4" t="s">
        <v>241</v>
      </c>
      <c r="IF14" s="4" t="s">
        <v>241</v>
      </c>
    </row>
    <row r="15" spans="1:240" x14ac:dyDescent="0.4">
      <c r="A15" s="4">
        <v>2</v>
      </c>
      <c r="B15" s="4" t="s">
        <v>239</v>
      </c>
      <c r="C15" s="4">
        <v>1092</v>
      </c>
      <c r="D15" s="4">
        <v>1</v>
      </c>
      <c r="E15" s="4">
        <v>1</v>
      </c>
      <c r="F15" s="4" t="s">
        <v>240</v>
      </c>
      <c r="G15" s="4" t="s">
        <v>241</v>
      </c>
      <c r="H15" s="4" t="s">
        <v>241</v>
      </c>
      <c r="I15" s="4" t="s">
        <v>403</v>
      </c>
      <c r="J15" s="4" t="s">
        <v>317</v>
      </c>
      <c r="K15" s="4" t="s">
        <v>249</v>
      </c>
      <c r="L15" s="4" t="s">
        <v>406</v>
      </c>
      <c r="M15" s="5" t="s">
        <v>407</v>
      </c>
      <c r="N15" s="4" t="s">
        <v>402</v>
      </c>
      <c r="O15" s="6">
        <f>30.55</f>
        <v>30.55</v>
      </c>
      <c r="P15" s="4" t="s">
        <v>267</v>
      </c>
      <c r="Q15" s="6">
        <f>1</f>
        <v>1</v>
      </c>
      <c r="R15" s="6">
        <f>16435900</f>
        <v>16435900</v>
      </c>
      <c r="S15" s="5" t="s">
        <v>404</v>
      </c>
      <c r="T15" s="4" t="s">
        <v>322</v>
      </c>
      <c r="U15" s="4" t="s">
        <v>408</v>
      </c>
      <c r="W15" s="6">
        <f>16435899</f>
        <v>16435899</v>
      </c>
      <c r="X15" s="4" t="s">
        <v>292</v>
      </c>
      <c r="Y15" s="4" t="s">
        <v>242</v>
      </c>
      <c r="Z15" s="4" t="s">
        <v>306</v>
      </c>
      <c r="AA15" s="4" t="s">
        <v>241</v>
      </c>
      <c r="AD15" s="4" t="s">
        <v>241</v>
      </c>
      <c r="AF15" s="5" t="s">
        <v>241</v>
      </c>
      <c r="AI15" s="5" t="s">
        <v>405</v>
      </c>
      <c r="AJ15" s="4" t="s">
        <v>245</v>
      </c>
      <c r="AK15" s="4" t="s">
        <v>246</v>
      </c>
      <c r="BA15" s="4" t="s">
        <v>247</v>
      </c>
      <c r="BB15" s="4" t="s">
        <v>241</v>
      </c>
      <c r="BC15" s="4" t="s">
        <v>248</v>
      </c>
      <c r="BD15" s="4" t="s">
        <v>241</v>
      </c>
      <c r="BE15" s="4" t="s">
        <v>250</v>
      </c>
      <c r="BF15" s="4" t="s">
        <v>241</v>
      </c>
      <c r="BJ15" s="4" t="s">
        <v>251</v>
      </c>
      <c r="BK15" s="5" t="s">
        <v>252</v>
      </c>
      <c r="BL15" s="4" t="s">
        <v>253</v>
      </c>
      <c r="BM15" s="4" t="s">
        <v>254</v>
      </c>
      <c r="BN15" s="4" t="s">
        <v>241</v>
      </c>
      <c r="BO15" s="6">
        <f>0</f>
        <v>0</v>
      </c>
      <c r="BP15" s="6">
        <f>0</f>
        <v>0</v>
      </c>
      <c r="BQ15" s="4" t="s">
        <v>255</v>
      </c>
      <c r="BR15" s="4" t="s">
        <v>256</v>
      </c>
      <c r="CF15" s="4" t="s">
        <v>241</v>
      </c>
      <c r="CG15" s="4" t="s">
        <v>241</v>
      </c>
      <c r="CK15" s="4" t="s">
        <v>276</v>
      </c>
      <c r="CL15" s="4" t="s">
        <v>258</v>
      </c>
      <c r="CM15" s="4" t="s">
        <v>241</v>
      </c>
      <c r="CO15" s="4" t="s">
        <v>362</v>
      </c>
      <c r="CP15" s="5" t="s">
        <v>260</v>
      </c>
      <c r="CQ15" s="4" t="s">
        <v>261</v>
      </c>
      <c r="CR15" s="4" t="s">
        <v>262</v>
      </c>
      <c r="CS15" s="4" t="s">
        <v>241</v>
      </c>
      <c r="CT15" s="4" t="s">
        <v>241</v>
      </c>
      <c r="CU15" s="4">
        <v>0</v>
      </c>
      <c r="CV15" s="4" t="s">
        <v>298</v>
      </c>
      <c r="CW15" s="4" t="s">
        <v>299</v>
      </c>
      <c r="CX15" s="4" t="s">
        <v>321</v>
      </c>
      <c r="CZ15" s="6">
        <f>16435900</f>
        <v>16435900</v>
      </c>
      <c r="DA15" s="6">
        <f>0</f>
        <v>0</v>
      </c>
      <c r="DC15" s="4" t="s">
        <v>241</v>
      </c>
      <c r="DD15" s="4" t="s">
        <v>241</v>
      </c>
      <c r="DF15" s="4" t="s">
        <v>241</v>
      </c>
      <c r="DI15" s="4" t="s">
        <v>241</v>
      </c>
      <c r="DJ15" s="4" t="s">
        <v>241</v>
      </c>
      <c r="DK15" s="4" t="s">
        <v>241</v>
      </c>
      <c r="DL15" s="4" t="s">
        <v>241</v>
      </c>
      <c r="DM15" s="4" t="s">
        <v>268</v>
      </c>
      <c r="DN15" s="4" t="s">
        <v>269</v>
      </c>
      <c r="DO15" s="6">
        <f>30.55</f>
        <v>30.55</v>
      </c>
      <c r="DP15" s="4" t="s">
        <v>241</v>
      </c>
      <c r="DQ15" s="4" t="s">
        <v>241</v>
      </c>
      <c r="DR15" s="4" t="s">
        <v>241</v>
      </c>
      <c r="DS15" s="4" t="s">
        <v>241</v>
      </c>
      <c r="DV15" s="4" t="s">
        <v>409</v>
      </c>
      <c r="DW15" s="4" t="s">
        <v>268</v>
      </c>
      <c r="HO15" s="4" t="s">
        <v>268</v>
      </c>
      <c r="HR15" s="4" t="s">
        <v>269</v>
      </c>
      <c r="HS15" s="4" t="s">
        <v>269</v>
      </c>
    </row>
    <row r="16" spans="1:240" x14ac:dyDescent="0.4">
      <c r="A16" s="4">
        <v>2</v>
      </c>
      <c r="B16" s="4" t="s">
        <v>239</v>
      </c>
      <c r="C16" s="4">
        <v>1093</v>
      </c>
      <c r="D16" s="4">
        <v>1</v>
      </c>
      <c r="E16" s="4">
        <v>1</v>
      </c>
      <c r="F16" s="4" t="s">
        <v>240</v>
      </c>
      <c r="G16" s="4" t="s">
        <v>241</v>
      </c>
      <c r="H16" s="4" t="s">
        <v>241</v>
      </c>
      <c r="I16" s="4" t="s">
        <v>410</v>
      </c>
      <c r="J16" s="4" t="s">
        <v>317</v>
      </c>
      <c r="K16" s="4" t="s">
        <v>249</v>
      </c>
      <c r="L16" s="4" t="s">
        <v>406</v>
      </c>
      <c r="M16" s="5" t="s">
        <v>412</v>
      </c>
      <c r="N16" s="4" t="s">
        <v>402</v>
      </c>
      <c r="O16" s="6">
        <f>21</f>
        <v>21</v>
      </c>
      <c r="P16" s="4" t="s">
        <v>267</v>
      </c>
      <c r="Q16" s="6">
        <f>1</f>
        <v>1</v>
      </c>
      <c r="R16" s="6">
        <f>1995000</f>
        <v>1995000</v>
      </c>
      <c r="S16" s="5" t="s">
        <v>411</v>
      </c>
      <c r="T16" s="4" t="s">
        <v>322</v>
      </c>
      <c r="U16" s="4" t="s">
        <v>413</v>
      </c>
      <c r="W16" s="6">
        <f>1994999</f>
        <v>1994999</v>
      </c>
      <c r="X16" s="4" t="s">
        <v>292</v>
      </c>
      <c r="Y16" s="4" t="s">
        <v>242</v>
      </c>
      <c r="Z16" s="4" t="s">
        <v>306</v>
      </c>
      <c r="AA16" s="4" t="s">
        <v>241</v>
      </c>
      <c r="AD16" s="4" t="s">
        <v>241</v>
      </c>
      <c r="AF16" s="5" t="s">
        <v>241</v>
      </c>
      <c r="AI16" s="5" t="s">
        <v>244</v>
      </c>
      <c r="AJ16" s="4" t="s">
        <v>245</v>
      </c>
      <c r="AK16" s="4" t="s">
        <v>246</v>
      </c>
      <c r="BA16" s="4" t="s">
        <v>247</v>
      </c>
      <c r="BB16" s="4" t="s">
        <v>241</v>
      </c>
      <c r="BC16" s="4" t="s">
        <v>248</v>
      </c>
      <c r="BD16" s="4" t="s">
        <v>241</v>
      </c>
      <c r="BE16" s="4" t="s">
        <v>250</v>
      </c>
      <c r="BF16" s="4" t="s">
        <v>241</v>
      </c>
      <c r="BJ16" s="4" t="s">
        <v>399</v>
      </c>
      <c r="BK16" s="5" t="s">
        <v>244</v>
      </c>
      <c r="BL16" s="4" t="s">
        <v>253</v>
      </c>
      <c r="BM16" s="4" t="s">
        <v>254</v>
      </c>
      <c r="BN16" s="4" t="s">
        <v>241</v>
      </c>
      <c r="BO16" s="6">
        <f>0</f>
        <v>0</v>
      </c>
      <c r="BP16" s="6">
        <f>0</f>
        <v>0</v>
      </c>
      <c r="BQ16" s="4" t="s">
        <v>255</v>
      </c>
      <c r="BR16" s="4" t="s">
        <v>256</v>
      </c>
      <c r="CF16" s="4" t="s">
        <v>241</v>
      </c>
      <c r="CG16" s="4" t="s">
        <v>241</v>
      </c>
      <c r="CK16" s="4" t="s">
        <v>257</v>
      </c>
      <c r="CL16" s="4" t="s">
        <v>258</v>
      </c>
      <c r="CM16" s="4" t="s">
        <v>241</v>
      </c>
      <c r="CO16" s="4" t="s">
        <v>283</v>
      </c>
      <c r="CP16" s="5" t="s">
        <v>260</v>
      </c>
      <c r="CQ16" s="4" t="s">
        <v>261</v>
      </c>
      <c r="CR16" s="4" t="s">
        <v>262</v>
      </c>
      <c r="CS16" s="4" t="s">
        <v>241</v>
      </c>
      <c r="CT16" s="4" t="s">
        <v>241</v>
      </c>
      <c r="CU16" s="4">
        <v>0</v>
      </c>
      <c r="CV16" s="4" t="s">
        <v>298</v>
      </c>
      <c r="CW16" s="4" t="s">
        <v>299</v>
      </c>
      <c r="CX16" s="4" t="s">
        <v>321</v>
      </c>
      <c r="CZ16" s="6">
        <f>1995000</f>
        <v>1995000</v>
      </c>
      <c r="DA16" s="6">
        <f>0</f>
        <v>0</v>
      </c>
      <c r="DC16" s="4" t="s">
        <v>241</v>
      </c>
      <c r="DD16" s="4" t="s">
        <v>241</v>
      </c>
      <c r="DF16" s="4" t="s">
        <v>241</v>
      </c>
      <c r="DI16" s="4" t="s">
        <v>241</v>
      </c>
      <c r="DJ16" s="4" t="s">
        <v>241</v>
      </c>
      <c r="DK16" s="4" t="s">
        <v>241</v>
      </c>
      <c r="DL16" s="4" t="s">
        <v>241</v>
      </c>
      <c r="DM16" s="4" t="s">
        <v>268</v>
      </c>
      <c r="DN16" s="4" t="s">
        <v>269</v>
      </c>
      <c r="DO16" s="6">
        <f>21</f>
        <v>21</v>
      </c>
      <c r="DP16" s="4" t="s">
        <v>241</v>
      </c>
      <c r="DQ16" s="4" t="s">
        <v>241</v>
      </c>
      <c r="DR16" s="4" t="s">
        <v>241</v>
      </c>
      <c r="DS16" s="4" t="s">
        <v>241</v>
      </c>
      <c r="DV16" s="4" t="s">
        <v>414</v>
      </c>
      <c r="DW16" s="4" t="s">
        <v>268</v>
      </c>
      <c r="HO16" s="4" t="s">
        <v>268</v>
      </c>
      <c r="HR16" s="4" t="s">
        <v>269</v>
      </c>
      <c r="HS16" s="4" t="s">
        <v>269</v>
      </c>
    </row>
    <row r="17" spans="1:240" x14ac:dyDescent="0.4">
      <c r="A17" s="4">
        <v>2</v>
      </c>
      <c r="B17" s="4" t="s">
        <v>239</v>
      </c>
      <c r="C17" s="4">
        <v>1094</v>
      </c>
      <c r="D17" s="4">
        <v>1</v>
      </c>
      <c r="E17" s="4">
        <v>1</v>
      </c>
      <c r="F17" s="4" t="s">
        <v>240</v>
      </c>
      <c r="G17" s="4" t="s">
        <v>241</v>
      </c>
      <c r="H17" s="4" t="s">
        <v>241</v>
      </c>
      <c r="I17" s="4" t="s">
        <v>410</v>
      </c>
      <c r="J17" s="4" t="s">
        <v>317</v>
      </c>
      <c r="K17" s="4" t="s">
        <v>249</v>
      </c>
      <c r="L17" s="4" t="s">
        <v>308</v>
      </c>
      <c r="M17" s="5" t="s">
        <v>412</v>
      </c>
      <c r="N17" s="4" t="s">
        <v>308</v>
      </c>
      <c r="O17" s="6">
        <f>11.23</f>
        <v>11.23</v>
      </c>
      <c r="P17" s="4" t="s">
        <v>267</v>
      </c>
      <c r="Q17" s="6">
        <f>1</f>
        <v>1</v>
      </c>
      <c r="R17" s="6">
        <f>1740650</f>
        <v>1740650</v>
      </c>
      <c r="S17" s="5" t="s">
        <v>697</v>
      </c>
      <c r="T17" s="4" t="s">
        <v>300</v>
      </c>
      <c r="U17" s="4" t="s">
        <v>300</v>
      </c>
      <c r="W17" s="6">
        <f>1740649</f>
        <v>1740649</v>
      </c>
      <c r="X17" s="4" t="s">
        <v>292</v>
      </c>
      <c r="Y17" s="4" t="s">
        <v>242</v>
      </c>
      <c r="Z17" s="4" t="s">
        <v>306</v>
      </c>
      <c r="AA17" s="4" t="s">
        <v>241</v>
      </c>
      <c r="AD17" s="4" t="s">
        <v>241</v>
      </c>
      <c r="AF17" s="5" t="s">
        <v>241</v>
      </c>
      <c r="AI17" s="5" t="s">
        <v>244</v>
      </c>
      <c r="AJ17" s="4" t="s">
        <v>245</v>
      </c>
      <c r="AK17" s="4" t="s">
        <v>246</v>
      </c>
      <c r="BA17" s="4" t="s">
        <v>247</v>
      </c>
      <c r="BB17" s="4" t="s">
        <v>241</v>
      </c>
      <c r="BC17" s="4" t="s">
        <v>248</v>
      </c>
      <c r="BD17" s="4" t="s">
        <v>241</v>
      </c>
      <c r="BE17" s="4" t="s">
        <v>250</v>
      </c>
      <c r="BF17" s="4" t="s">
        <v>241</v>
      </c>
      <c r="BJ17" s="4" t="s">
        <v>399</v>
      </c>
      <c r="BK17" s="5" t="s">
        <v>244</v>
      </c>
      <c r="BL17" s="4" t="s">
        <v>253</v>
      </c>
      <c r="BM17" s="4" t="s">
        <v>275</v>
      </c>
      <c r="BN17" s="4" t="s">
        <v>241</v>
      </c>
      <c r="BO17" s="6">
        <f>0</f>
        <v>0</v>
      </c>
      <c r="BP17" s="6">
        <f>0</f>
        <v>0</v>
      </c>
      <c r="BQ17" s="4" t="s">
        <v>255</v>
      </c>
      <c r="BR17" s="4" t="s">
        <v>256</v>
      </c>
      <c r="CF17" s="4" t="s">
        <v>241</v>
      </c>
      <c r="CG17" s="4" t="s">
        <v>241</v>
      </c>
      <c r="CK17" s="4" t="s">
        <v>257</v>
      </c>
      <c r="CL17" s="4" t="s">
        <v>258</v>
      </c>
      <c r="CM17" s="4" t="s">
        <v>241</v>
      </c>
      <c r="CO17" s="4" t="s">
        <v>698</v>
      </c>
      <c r="CP17" s="5" t="s">
        <v>260</v>
      </c>
      <c r="CQ17" s="4" t="s">
        <v>261</v>
      </c>
      <c r="CR17" s="4" t="s">
        <v>262</v>
      </c>
      <c r="CS17" s="4" t="s">
        <v>241</v>
      </c>
      <c r="CT17" s="4" t="s">
        <v>241</v>
      </c>
      <c r="CU17" s="4">
        <v>0</v>
      </c>
      <c r="CV17" s="4" t="s">
        <v>298</v>
      </c>
      <c r="CW17" s="4" t="s">
        <v>299</v>
      </c>
      <c r="CX17" s="4" t="s">
        <v>279</v>
      </c>
      <c r="CZ17" s="6">
        <f>1740650</f>
        <v>1740650</v>
      </c>
      <c r="DA17" s="6">
        <f>0</f>
        <v>0</v>
      </c>
      <c r="DC17" s="4" t="s">
        <v>241</v>
      </c>
      <c r="DD17" s="4" t="s">
        <v>241</v>
      </c>
      <c r="DF17" s="4" t="s">
        <v>241</v>
      </c>
      <c r="DI17" s="4" t="s">
        <v>241</v>
      </c>
      <c r="DJ17" s="4" t="s">
        <v>241</v>
      </c>
      <c r="DK17" s="4" t="s">
        <v>241</v>
      </c>
      <c r="DL17" s="4" t="s">
        <v>241</v>
      </c>
      <c r="DM17" s="4" t="s">
        <v>268</v>
      </c>
      <c r="DN17" s="4" t="s">
        <v>269</v>
      </c>
      <c r="DO17" s="6">
        <f>11.23</f>
        <v>11.23</v>
      </c>
      <c r="DP17" s="4" t="s">
        <v>241</v>
      </c>
      <c r="DQ17" s="4" t="s">
        <v>241</v>
      </c>
      <c r="DR17" s="4" t="s">
        <v>241</v>
      </c>
      <c r="DS17" s="4" t="s">
        <v>241</v>
      </c>
      <c r="DV17" s="4" t="s">
        <v>414</v>
      </c>
      <c r="DW17" s="4" t="s">
        <v>289</v>
      </c>
      <c r="HO17" s="4" t="s">
        <v>289</v>
      </c>
      <c r="HR17" s="4" t="s">
        <v>269</v>
      </c>
      <c r="HS17" s="4" t="s">
        <v>269</v>
      </c>
    </row>
    <row r="18" spans="1:240" x14ac:dyDescent="0.4">
      <c r="A18" s="4">
        <v>2</v>
      </c>
      <c r="B18" s="4" t="s">
        <v>239</v>
      </c>
      <c r="C18" s="4">
        <v>1095</v>
      </c>
      <c r="D18" s="4">
        <v>1</v>
      </c>
      <c r="E18" s="4">
        <v>3</v>
      </c>
      <c r="F18" s="4" t="s">
        <v>240</v>
      </c>
      <c r="G18" s="4" t="s">
        <v>241</v>
      </c>
      <c r="H18" s="4" t="s">
        <v>241</v>
      </c>
      <c r="I18" s="4" t="s">
        <v>722</v>
      </c>
      <c r="J18" s="4" t="s">
        <v>608</v>
      </c>
      <c r="K18" s="4" t="s">
        <v>249</v>
      </c>
      <c r="L18" s="4" t="s">
        <v>686</v>
      </c>
      <c r="M18" s="5" t="s">
        <v>724</v>
      </c>
      <c r="N18" s="4" t="s">
        <v>686</v>
      </c>
      <c r="O18" s="6">
        <f>926.5</f>
        <v>926.5</v>
      </c>
      <c r="P18" s="4" t="s">
        <v>267</v>
      </c>
      <c r="Q18" s="6">
        <f>238147560</f>
        <v>238147560</v>
      </c>
      <c r="R18" s="6">
        <f>425263500</f>
        <v>425263500</v>
      </c>
      <c r="S18" s="5" t="s">
        <v>723</v>
      </c>
      <c r="T18" s="4" t="s">
        <v>280</v>
      </c>
      <c r="U18" s="4" t="s">
        <v>363</v>
      </c>
      <c r="V18" s="6">
        <f>8505270</f>
        <v>8505270</v>
      </c>
      <c r="W18" s="6">
        <f>187115940</f>
        <v>187115940</v>
      </c>
      <c r="X18" s="4" t="s">
        <v>292</v>
      </c>
      <c r="Y18" s="4" t="s">
        <v>242</v>
      </c>
      <c r="Z18" s="4" t="s">
        <v>682</v>
      </c>
      <c r="AA18" s="4" t="s">
        <v>241</v>
      </c>
      <c r="AD18" s="4" t="s">
        <v>241</v>
      </c>
      <c r="AE18" s="5" t="s">
        <v>241</v>
      </c>
      <c r="AF18" s="5" t="s">
        <v>241</v>
      </c>
      <c r="AH18" s="5" t="s">
        <v>241</v>
      </c>
      <c r="AI18" s="5" t="s">
        <v>244</v>
      </c>
      <c r="AJ18" s="4" t="s">
        <v>245</v>
      </c>
      <c r="AK18" s="4" t="s">
        <v>246</v>
      </c>
      <c r="AQ18" s="4" t="s">
        <v>241</v>
      </c>
      <c r="AR18" s="4" t="s">
        <v>241</v>
      </c>
      <c r="AS18" s="4" t="s">
        <v>241</v>
      </c>
      <c r="AT18" s="5" t="s">
        <v>241</v>
      </c>
      <c r="AU18" s="5" t="s">
        <v>241</v>
      </c>
      <c r="AV18" s="5" t="s">
        <v>241</v>
      </c>
      <c r="AY18" s="4" t="s">
        <v>271</v>
      </c>
      <c r="AZ18" s="4" t="s">
        <v>271</v>
      </c>
      <c r="BA18" s="4" t="s">
        <v>247</v>
      </c>
      <c r="BB18" s="4" t="s">
        <v>272</v>
      </c>
      <c r="BC18" s="4" t="s">
        <v>248</v>
      </c>
      <c r="BD18" s="4" t="s">
        <v>241</v>
      </c>
      <c r="BE18" s="4" t="s">
        <v>250</v>
      </c>
      <c r="BF18" s="4" t="s">
        <v>241</v>
      </c>
      <c r="BJ18" s="4" t="s">
        <v>273</v>
      </c>
      <c r="BK18" s="5" t="s">
        <v>274</v>
      </c>
      <c r="BL18" s="4" t="s">
        <v>275</v>
      </c>
      <c r="BM18" s="4" t="s">
        <v>275</v>
      </c>
      <c r="BN18" s="4" t="s">
        <v>241</v>
      </c>
      <c r="BO18" s="6">
        <f>0</f>
        <v>0</v>
      </c>
      <c r="BP18" s="6">
        <f>-8505270</f>
        <v>-8505270</v>
      </c>
      <c r="BQ18" s="4" t="s">
        <v>255</v>
      </c>
      <c r="BR18" s="4" t="s">
        <v>256</v>
      </c>
      <c r="BS18" s="4" t="s">
        <v>241</v>
      </c>
      <c r="BT18" s="4" t="s">
        <v>241</v>
      </c>
      <c r="BU18" s="4" t="s">
        <v>241</v>
      </c>
      <c r="BV18" s="4" t="s">
        <v>241</v>
      </c>
      <c r="CE18" s="4" t="s">
        <v>256</v>
      </c>
      <c r="CF18" s="4" t="s">
        <v>241</v>
      </c>
      <c r="CG18" s="4" t="s">
        <v>241</v>
      </c>
      <c r="CK18" s="4" t="s">
        <v>276</v>
      </c>
      <c r="CL18" s="4" t="s">
        <v>258</v>
      </c>
      <c r="CM18" s="4" t="s">
        <v>241</v>
      </c>
      <c r="CO18" s="4" t="s">
        <v>362</v>
      </c>
      <c r="CP18" s="5" t="s">
        <v>260</v>
      </c>
      <c r="CQ18" s="4" t="s">
        <v>261</v>
      </c>
      <c r="CR18" s="4" t="s">
        <v>262</v>
      </c>
      <c r="CS18" s="4" t="s">
        <v>278</v>
      </c>
      <c r="CT18" s="4" t="s">
        <v>241</v>
      </c>
      <c r="CU18" s="4">
        <v>0.02</v>
      </c>
      <c r="CV18" s="4" t="s">
        <v>298</v>
      </c>
      <c r="CW18" s="4" t="s">
        <v>684</v>
      </c>
      <c r="CX18" s="4" t="s">
        <v>279</v>
      </c>
      <c r="CY18" s="6">
        <f>0</f>
        <v>0</v>
      </c>
      <c r="CZ18" s="6">
        <f>425263500</f>
        <v>425263500</v>
      </c>
      <c r="DA18" s="6">
        <f>238147560</f>
        <v>238147560</v>
      </c>
      <c r="DC18" s="4" t="s">
        <v>241</v>
      </c>
      <c r="DD18" s="4" t="s">
        <v>241</v>
      </c>
      <c r="DF18" s="4" t="s">
        <v>241</v>
      </c>
      <c r="DG18" s="6">
        <f>0</f>
        <v>0</v>
      </c>
      <c r="DI18" s="4" t="s">
        <v>241</v>
      </c>
      <c r="DJ18" s="4" t="s">
        <v>241</v>
      </c>
      <c r="DK18" s="4" t="s">
        <v>241</v>
      </c>
      <c r="DL18" s="4" t="s">
        <v>241</v>
      </c>
      <c r="DM18" s="4" t="s">
        <v>268</v>
      </c>
      <c r="DN18" s="4" t="s">
        <v>269</v>
      </c>
      <c r="DO18" s="6">
        <f>926.5</f>
        <v>926.5</v>
      </c>
      <c r="DP18" s="4" t="s">
        <v>241</v>
      </c>
      <c r="DQ18" s="4" t="s">
        <v>241</v>
      </c>
      <c r="DR18" s="4" t="s">
        <v>241</v>
      </c>
      <c r="DS18" s="4" t="s">
        <v>241</v>
      </c>
      <c r="DV18" s="4" t="s">
        <v>725</v>
      </c>
      <c r="DW18" s="4" t="s">
        <v>268</v>
      </c>
      <c r="GN18" s="4" t="s">
        <v>726</v>
      </c>
      <c r="HO18" s="4" t="s">
        <v>282</v>
      </c>
      <c r="HR18" s="4" t="s">
        <v>269</v>
      </c>
      <c r="HS18" s="4" t="s">
        <v>269</v>
      </c>
      <c r="HT18" s="4" t="s">
        <v>241</v>
      </c>
      <c r="HU18" s="4" t="s">
        <v>241</v>
      </c>
      <c r="HV18" s="4" t="s">
        <v>241</v>
      </c>
      <c r="HW18" s="4" t="s">
        <v>241</v>
      </c>
      <c r="HX18" s="4" t="s">
        <v>241</v>
      </c>
      <c r="HY18" s="4" t="s">
        <v>241</v>
      </c>
      <c r="HZ18" s="4" t="s">
        <v>241</v>
      </c>
      <c r="IA18" s="4" t="s">
        <v>241</v>
      </c>
      <c r="IB18" s="4" t="s">
        <v>241</v>
      </c>
      <c r="IC18" s="4" t="s">
        <v>241</v>
      </c>
      <c r="ID18" s="4" t="s">
        <v>241</v>
      </c>
      <c r="IE18" s="4" t="s">
        <v>241</v>
      </c>
      <c r="IF18" s="4" t="s">
        <v>241</v>
      </c>
    </row>
    <row r="19" spans="1:240" x14ac:dyDescent="0.4">
      <c r="A19" s="4">
        <v>2</v>
      </c>
      <c r="B19" s="4" t="s">
        <v>239</v>
      </c>
      <c r="C19" s="4">
        <v>1096</v>
      </c>
      <c r="D19" s="4">
        <v>1</v>
      </c>
      <c r="E19" s="4">
        <v>4</v>
      </c>
      <c r="F19" s="4" t="s">
        <v>240</v>
      </c>
      <c r="I19" s="4" t="s">
        <v>241</v>
      </c>
      <c r="J19" s="4" t="s">
        <v>317</v>
      </c>
      <c r="K19" s="4" t="s">
        <v>249</v>
      </c>
      <c r="L19" s="4" t="s">
        <v>406</v>
      </c>
      <c r="M19" s="5" t="s">
        <v>352</v>
      </c>
      <c r="N19" s="4" t="s">
        <v>685</v>
      </c>
      <c r="O19" s="6">
        <f>483.34</f>
        <v>483.34</v>
      </c>
      <c r="P19" s="4" t="s">
        <v>267</v>
      </c>
      <c r="Q19" s="6">
        <f>39329279</f>
        <v>39329279</v>
      </c>
      <c r="R19" s="6">
        <f>181240892</f>
        <v>181240892</v>
      </c>
      <c r="S19" s="5" t="s">
        <v>669</v>
      </c>
      <c r="T19" s="4" t="s">
        <v>300</v>
      </c>
      <c r="U19" s="4" t="s">
        <v>505</v>
      </c>
      <c r="W19" s="6">
        <f>141911613</f>
        <v>141911613</v>
      </c>
      <c r="X19" s="4" t="s">
        <v>292</v>
      </c>
      <c r="Y19" s="4" t="s">
        <v>242</v>
      </c>
      <c r="Z19" s="4" t="s">
        <v>306</v>
      </c>
      <c r="AA19" s="4" t="s">
        <v>241</v>
      </c>
      <c r="AD19" s="4" t="s">
        <v>241</v>
      </c>
      <c r="AE19" s="5" t="s">
        <v>241</v>
      </c>
      <c r="AF19" s="5" t="s">
        <v>241</v>
      </c>
      <c r="AH19" s="5" t="s">
        <v>241</v>
      </c>
      <c r="AI19" s="5" t="s">
        <v>244</v>
      </c>
      <c r="AJ19" s="4" t="s">
        <v>245</v>
      </c>
      <c r="AK19" s="4" t="s">
        <v>246</v>
      </c>
      <c r="AV19" s="5" t="s">
        <v>241</v>
      </c>
      <c r="AY19" s="4" t="s">
        <v>271</v>
      </c>
      <c r="AZ19" s="4" t="s">
        <v>271</v>
      </c>
      <c r="BA19" s="4" t="s">
        <v>247</v>
      </c>
      <c r="BB19" s="4" t="s">
        <v>272</v>
      </c>
      <c r="BC19" s="4" t="s">
        <v>248</v>
      </c>
      <c r="BD19" s="4" t="s">
        <v>241</v>
      </c>
      <c r="BE19" s="4" t="s">
        <v>250</v>
      </c>
      <c r="BF19" s="4" t="s">
        <v>241</v>
      </c>
      <c r="BJ19" s="4" t="s">
        <v>273</v>
      </c>
      <c r="BK19" s="5" t="s">
        <v>274</v>
      </c>
      <c r="BL19" s="4" t="s">
        <v>275</v>
      </c>
      <c r="BM19" s="4" t="s">
        <v>275</v>
      </c>
      <c r="BN19" s="4" t="s">
        <v>241</v>
      </c>
      <c r="BO19" s="6">
        <f>0</f>
        <v>0</v>
      </c>
      <c r="BP19" s="6">
        <f>-4893504</f>
        <v>-4893504</v>
      </c>
      <c r="BQ19" s="4" t="s">
        <v>255</v>
      </c>
      <c r="BR19" s="4" t="s">
        <v>256</v>
      </c>
      <c r="BS19" s="4" t="s">
        <v>241</v>
      </c>
      <c r="BT19" s="4" t="s">
        <v>241</v>
      </c>
      <c r="BU19" s="4" t="s">
        <v>241</v>
      </c>
      <c r="BV19" s="4" t="s">
        <v>241</v>
      </c>
      <c r="CE19" s="4" t="s">
        <v>256</v>
      </c>
      <c r="CF19" s="4" t="s">
        <v>241</v>
      </c>
      <c r="CG19" s="4" t="s">
        <v>241</v>
      </c>
      <c r="CK19" s="4" t="s">
        <v>276</v>
      </c>
      <c r="CL19" s="4" t="s">
        <v>258</v>
      </c>
      <c r="CM19" s="4" t="s">
        <v>241</v>
      </c>
      <c r="CO19" s="4" t="s">
        <v>671</v>
      </c>
      <c r="CP19" s="5" t="s">
        <v>260</v>
      </c>
      <c r="CQ19" s="4" t="s">
        <v>261</v>
      </c>
      <c r="CR19" s="4" t="s">
        <v>262</v>
      </c>
      <c r="CS19" s="4" t="s">
        <v>278</v>
      </c>
      <c r="CT19" s="4" t="s">
        <v>241</v>
      </c>
      <c r="CU19" s="4">
        <v>0</v>
      </c>
      <c r="CV19" s="4" t="s">
        <v>298</v>
      </c>
      <c r="CW19" s="4" t="s">
        <v>684</v>
      </c>
      <c r="CX19" s="4" t="s">
        <v>683</v>
      </c>
      <c r="CY19" s="6">
        <f>0</f>
        <v>0</v>
      </c>
      <c r="CZ19" s="6">
        <f>239736640</f>
        <v>239736640</v>
      </c>
      <c r="DA19" s="6">
        <f>39329279</f>
        <v>39329279</v>
      </c>
      <c r="DC19" s="4" t="s">
        <v>241</v>
      </c>
      <c r="DD19" s="4" t="s">
        <v>241</v>
      </c>
      <c r="DF19" s="4" t="s">
        <v>241</v>
      </c>
      <c r="DG19" s="6">
        <f>0</f>
        <v>0</v>
      </c>
      <c r="DI19" s="4" t="s">
        <v>241</v>
      </c>
      <c r="DJ19" s="4" t="s">
        <v>241</v>
      </c>
      <c r="DK19" s="4" t="s">
        <v>241</v>
      </c>
      <c r="DL19" s="4" t="s">
        <v>241</v>
      </c>
      <c r="DM19" s="4" t="s">
        <v>289</v>
      </c>
      <c r="DN19" s="4" t="s">
        <v>269</v>
      </c>
      <c r="DO19" s="6">
        <f>483.34</f>
        <v>483.34</v>
      </c>
      <c r="DP19" s="4" t="s">
        <v>241</v>
      </c>
      <c r="DQ19" s="4" t="s">
        <v>241</v>
      </c>
      <c r="DR19" s="4" t="s">
        <v>241</v>
      </c>
      <c r="DS19" s="4" t="s">
        <v>241</v>
      </c>
      <c r="DV19" s="4" t="s">
        <v>357</v>
      </c>
      <c r="DW19" s="4" t="s">
        <v>268</v>
      </c>
      <c r="GN19" s="4" t="s">
        <v>794</v>
      </c>
      <c r="HO19" s="4" t="s">
        <v>282</v>
      </c>
      <c r="HR19" s="4" t="s">
        <v>269</v>
      </c>
      <c r="HS19" s="4" t="s">
        <v>269</v>
      </c>
      <c r="HT19" s="4" t="s">
        <v>241</v>
      </c>
      <c r="HU19" s="4" t="s">
        <v>241</v>
      </c>
      <c r="HV19" s="4" t="s">
        <v>241</v>
      </c>
      <c r="HW19" s="4" t="s">
        <v>241</v>
      </c>
      <c r="HX19" s="4" t="s">
        <v>241</v>
      </c>
      <c r="HY19" s="4" t="s">
        <v>241</v>
      </c>
      <c r="HZ19" s="4" t="s">
        <v>241</v>
      </c>
      <c r="IA19" s="4" t="s">
        <v>241</v>
      </c>
      <c r="IB19" s="4" t="s">
        <v>241</v>
      </c>
      <c r="IC19" s="4" t="s">
        <v>241</v>
      </c>
      <c r="ID19" s="4" t="s">
        <v>241</v>
      </c>
      <c r="IE19" s="4" t="s">
        <v>241</v>
      </c>
      <c r="IF19" s="4" t="s">
        <v>241</v>
      </c>
    </row>
    <row r="20" spans="1:240" x14ac:dyDescent="0.4">
      <c r="A20" s="4">
        <v>2</v>
      </c>
      <c r="B20" s="4" t="s">
        <v>239</v>
      </c>
      <c r="C20" s="4">
        <v>1097</v>
      </c>
      <c r="D20" s="4">
        <v>1</v>
      </c>
      <c r="E20" s="4">
        <v>3</v>
      </c>
      <c r="F20" s="4" t="s">
        <v>240</v>
      </c>
      <c r="G20" s="4" t="s">
        <v>241</v>
      </c>
      <c r="H20" s="4" t="s">
        <v>241</v>
      </c>
      <c r="I20" s="4" t="s">
        <v>350</v>
      </c>
      <c r="J20" s="4" t="s">
        <v>317</v>
      </c>
      <c r="K20" s="4" t="s">
        <v>249</v>
      </c>
      <c r="L20" s="4" t="s">
        <v>308</v>
      </c>
      <c r="M20" s="5" t="s">
        <v>352</v>
      </c>
      <c r="N20" s="4" t="s">
        <v>308</v>
      </c>
      <c r="O20" s="6">
        <f>20.55</f>
        <v>20.55</v>
      </c>
      <c r="P20" s="4" t="s">
        <v>267</v>
      </c>
      <c r="Q20" s="6">
        <f>483350</f>
        <v>483350</v>
      </c>
      <c r="R20" s="6">
        <f>3020850</f>
        <v>3020850</v>
      </c>
      <c r="S20" s="5" t="s">
        <v>351</v>
      </c>
      <c r="T20" s="4" t="s">
        <v>355</v>
      </c>
      <c r="U20" s="4" t="s">
        <v>356</v>
      </c>
      <c r="V20" s="6">
        <f>90625</f>
        <v>90625</v>
      </c>
      <c r="W20" s="6">
        <f>2537500</f>
        <v>2537500</v>
      </c>
      <c r="X20" s="4" t="s">
        <v>292</v>
      </c>
      <c r="Y20" s="4" t="s">
        <v>242</v>
      </c>
      <c r="Z20" s="4" t="s">
        <v>306</v>
      </c>
      <c r="AA20" s="4" t="s">
        <v>241</v>
      </c>
      <c r="AD20" s="4" t="s">
        <v>241</v>
      </c>
      <c r="AE20" s="5" t="s">
        <v>241</v>
      </c>
      <c r="AF20" s="5" t="s">
        <v>241</v>
      </c>
      <c r="AH20" s="5" t="s">
        <v>241</v>
      </c>
      <c r="AI20" s="5" t="s">
        <v>244</v>
      </c>
      <c r="AJ20" s="4" t="s">
        <v>245</v>
      </c>
      <c r="AK20" s="4" t="s">
        <v>246</v>
      </c>
      <c r="AQ20" s="4" t="s">
        <v>241</v>
      </c>
      <c r="AR20" s="4" t="s">
        <v>241</v>
      </c>
      <c r="AS20" s="4" t="s">
        <v>241</v>
      </c>
      <c r="AT20" s="5" t="s">
        <v>241</v>
      </c>
      <c r="AU20" s="5" t="s">
        <v>241</v>
      </c>
      <c r="AV20" s="5" t="s">
        <v>241</v>
      </c>
      <c r="AY20" s="4" t="s">
        <v>271</v>
      </c>
      <c r="AZ20" s="4" t="s">
        <v>271</v>
      </c>
      <c r="BA20" s="4" t="s">
        <v>247</v>
      </c>
      <c r="BB20" s="4" t="s">
        <v>272</v>
      </c>
      <c r="BC20" s="4" t="s">
        <v>248</v>
      </c>
      <c r="BD20" s="4" t="s">
        <v>241</v>
      </c>
      <c r="BE20" s="4" t="s">
        <v>250</v>
      </c>
      <c r="BF20" s="4" t="s">
        <v>241</v>
      </c>
      <c r="BJ20" s="4" t="s">
        <v>273</v>
      </c>
      <c r="BK20" s="5" t="s">
        <v>274</v>
      </c>
      <c r="BL20" s="4" t="s">
        <v>275</v>
      </c>
      <c r="BM20" s="4" t="s">
        <v>275</v>
      </c>
      <c r="BN20" s="4" t="s">
        <v>241</v>
      </c>
      <c r="BO20" s="6">
        <f>0</f>
        <v>0</v>
      </c>
      <c r="BP20" s="6">
        <f>-90625</f>
        <v>-90625</v>
      </c>
      <c r="BQ20" s="4" t="s">
        <v>255</v>
      </c>
      <c r="BR20" s="4" t="s">
        <v>256</v>
      </c>
      <c r="BS20" s="4" t="s">
        <v>241</v>
      </c>
      <c r="BT20" s="4" t="s">
        <v>241</v>
      </c>
      <c r="BU20" s="4" t="s">
        <v>241</v>
      </c>
      <c r="BV20" s="4" t="s">
        <v>241</v>
      </c>
      <c r="CE20" s="4" t="s">
        <v>256</v>
      </c>
      <c r="CF20" s="4" t="s">
        <v>241</v>
      </c>
      <c r="CG20" s="4" t="s">
        <v>241</v>
      </c>
      <c r="CK20" s="4" t="s">
        <v>276</v>
      </c>
      <c r="CL20" s="4" t="s">
        <v>258</v>
      </c>
      <c r="CM20" s="4" t="s">
        <v>241</v>
      </c>
      <c r="CO20" s="4" t="s">
        <v>353</v>
      </c>
      <c r="CP20" s="5" t="s">
        <v>260</v>
      </c>
      <c r="CQ20" s="4" t="s">
        <v>261</v>
      </c>
      <c r="CR20" s="4" t="s">
        <v>262</v>
      </c>
      <c r="CS20" s="4" t="s">
        <v>278</v>
      </c>
      <c r="CT20" s="4" t="s">
        <v>241</v>
      </c>
      <c r="CU20" s="4">
        <v>0.03</v>
      </c>
      <c r="CV20" s="4" t="s">
        <v>298</v>
      </c>
      <c r="CW20" s="4" t="s">
        <v>299</v>
      </c>
      <c r="CX20" s="4" t="s">
        <v>354</v>
      </c>
      <c r="CY20" s="6">
        <f>0</f>
        <v>0</v>
      </c>
      <c r="CZ20" s="6">
        <f>3020850</f>
        <v>3020850</v>
      </c>
      <c r="DA20" s="6">
        <f>483350</f>
        <v>483350</v>
      </c>
      <c r="DC20" s="4" t="s">
        <v>241</v>
      </c>
      <c r="DD20" s="4" t="s">
        <v>241</v>
      </c>
      <c r="DF20" s="4" t="s">
        <v>241</v>
      </c>
      <c r="DG20" s="6">
        <f>0</f>
        <v>0</v>
      </c>
      <c r="DI20" s="4" t="s">
        <v>241</v>
      </c>
      <c r="DJ20" s="4" t="s">
        <v>241</v>
      </c>
      <c r="DK20" s="4" t="s">
        <v>241</v>
      </c>
      <c r="DL20" s="4" t="s">
        <v>241</v>
      </c>
      <c r="DM20" s="4" t="s">
        <v>268</v>
      </c>
      <c r="DN20" s="4" t="s">
        <v>269</v>
      </c>
      <c r="DO20" s="6">
        <f>20.55</f>
        <v>20.55</v>
      </c>
      <c r="DP20" s="4" t="s">
        <v>241</v>
      </c>
      <c r="DQ20" s="4" t="s">
        <v>241</v>
      </c>
      <c r="DR20" s="4" t="s">
        <v>241</v>
      </c>
      <c r="DS20" s="4" t="s">
        <v>241</v>
      </c>
      <c r="DV20" s="4" t="s">
        <v>357</v>
      </c>
      <c r="DW20" s="4" t="s">
        <v>289</v>
      </c>
      <c r="GN20" s="4" t="s">
        <v>358</v>
      </c>
      <c r="HO20" s="4" t="s">
        <v>282</v>
      </c>
      <c r="HR20" s="4" t="s">
        <v>269</v>
      </c>
      <c r="HS20" s="4" t="s">
        <v>269</v>
      </c>
      <c r="HT20" s="4" t="s">
        <v>241</v>
      </c>
      <c r="HU20" s="4" t="s">
        <v>241</v>
      </c>
      <c r="HV20" s="4" t="s">
        <v>241</v>
      </c>
      <c r="HW20" s="4" t="s">
        <v>241</v>
      </c>
      <c r="HX20" s="4" t="s">
        <v>241</v>
      </c>
      <c r="HY20" s="4" t="s">
        <v>241</v>
      </c>
      <c r="HZ20" s="4" t="s">
        <v>241</v>
      </c>
      <c r="IA20" s="4" t="s">
        <v>241</v>
      </c>
      <c r="IB20" s="4" t="s">
        <v>241</v>
      </c>
      <c r="IC20" s="4" t="s">
        <v>241</v>
      </c>
      <c r="ID20" s="4" t="s">
        <v>241</v>
      </c>
      <c r="IE20" s="4" t="s">
        <v>241</v>
      </c>
      <c r="IF20" s="4" t="s">
        <v>241</v>
      </c>
    </row>
    <row r="21" spans="1:240" x14ac:dyDescent="0.4">
      <c r="A21" s="4">
        <v>2</v>
      </c>
      <c r="B21" s="4" t="s">
        <v>239</v>
      </c>
      <c r="C21" s="4">
        <v>1098</v>
      </c>
      <c r="D21" s="4">
        <v>1</v>
      </c>
      <c r="E21" s="4">
        <v>1</v>
      </c>
      <c r="F21" s="4" t="s">
        <v>240</v>
      </c>
      <c r="G21" s="4" t="s">
        <v>241</v>
      </c>
      <c r="H21" s="4" t="s">
        <v>241</v>
      </c>
      <c r="I21" s="4" t="s">
        <v>631</v>
      </c>
      <c r="J21" s="4" t="s">
        <v>608</v>
      </c>
      <c r="K21" s="4" t="s">
        <v>249</v>
      </c>
      <c r="L21" s="4" t="s">
        <v>621</v>
      </c>
      <c r="M21" s="5" t="s">
        <v>633</v>
      </c>
      <c r="N21" s="4" t="s">
        <v>630</v>
      </c>
      <c r="O21" s="6">
        <f>103</f>
        <v>103</v>
      </c>
      <c r="P21" s="4" t="s">
        <v>267</v>
      </c>
      <c r="Q21" s="6">
        <f>1</f>
        <v>1</v>
      </c>
      <c r="R21" s="6">
        <f>6180000</f>
        <v>6180000</v>
      </c>
      <c r="S21" s="5" t="s">
        <v>632</v>
      </c>
      <c r="T21" s="4" t="s">
        <v>322</v>
      </c>
      <c r="U21" s="4" t="s">
        <v>635</v>
      </c>
      <c r="W21" s="6">
        <f>6179999</f>
        <v>6179999</v>
      </c>
      <c r="X21" s="4" t="s">
        <v>292</v>
      </c>
      <c r="Y21" s="4" t="s">
        <v>242</v>
      </c>
      <c r="Z21" s="4" t="s">
        <v>306</v>
      </c>
      <c r="AA21" s="4" t="s">
        <v>241</v>
      </c>
      <c r="AD21" s="4" t="s">
        <v>241</v>
      </c>
      <c r="AF21" s="5" t="s">
        <v>241</v>
      </c>
      <c r="AI21" s="5" t="s">
        <v>244</v>
      </c>
      <c r="AJ21" s="4" t="s">
        <v>245</v>
      </c>
      <c r="AK21" s="4" t="s">
        <v>246</v>
      </c>
      <c r="BA21" s="4" t="s">
        <v>247</v>
      </c>
      <c r="BB21" s="4" t="s">
        <v>241</v>
      </c>
      <c r="BC21" s="4" t="s">
        <v>248</v>
      </c>
      <c r="BD21" s="4" t="s">
        <v>241</v>
      </c>
      <c r="BE21" s="4" t="s">
        <v>250</v>
      </c>
      <c r="BF21" s="4" t="s">
        <v>241</v>
      </c>
      <c r="BH21" s="4" t="s">
        <v>340</v>
      </c>
      <c r="BJ21" s="4" t="s">
        <v>399</v>
      </c>
      <c r="BK21" s="5" t="s">
        <v>244</v>
      </c>
      <c r="BL21" s="4" t="s">
        <v>253</v>
      </c>
      <c r="BM21" s="4" t="s">
        <v>254</v>
      </c>
      <c r="BN21" s="4" t="s">
        <v>241</v>
      </c>
      <c r="BO21" s="6">
        <f>0</f>
        <v>0</v>
      </c>
      <c r="BP21" s="6">
        <f>0</f>
        <v>0</v>
      </c>
      <c r="BQ21" s="4" t="s">
        <v>255</v>
      </c>
      <c r="BR21" s="4" t="s">
        <v>256</v>
      </c>
      <c r="CF21" s="4" t="s">
        <v>241</v>
      </c>
      <c r="CG21" s="4" t="s">
        <v>241</v>
      </c>
      <c r="CK21" s="4" t="s">
        <v>257</v>
      </c>
      <c r="CL21" s="4" t="s">
        <v>258</v>
      </c>
      <c r="CM21" s="4" t="s">
        <v>241</v>
      </c>
      <c r="CO21" s="4" t="s">
        <v>634</v>
      </c>
      <c r="CP21" s="5" t="s">
        <v>260</v>
      </c>
      <c r="CQ21" s="4" t="s">
        <v>261</v>
      </c>
      <c r="CR21" s="4" t="s">
        <v>262</v>
      </c>
      <c r="CS21" s="4" t="s">
        <v>241</v>
      </c>
      <c r="CT21" s="4" t="s">
        <v>241</v>
      </c>
      <c r="CU21" s="4">
        <v>0</v>
      </c>
      <c r="CV21" s="4" t="s">
        <v>298</v>
      </c>
      <c r="CW21" s="4" t="s">
        <v>263</v>
      </c>
      <c r="CX21" s="4" t="s">
        <v>321</v>
      </c>
      <c r="CZ21" s="6">
        <f>6180000</f>
        <v>6180000</v>
      </c>
      <c r="DA21" s="6">
        <f>0</f>
        <v>0</v>
      </c>
      <c r="DC21" s="4" t="s">
        <v>241</v>
      </c>
      <c r="DD21" s="4" t="s">
        <v>241</v>
      </c>
      <c r="DF21" s="4" t="s">
        <v>241</v>
      </c>
      <c r="DI21" s="4" t="s">
        <v>241</v>
      </c>
      <c r="DJ21" s="4" t="s">
        <v>241</v>
      </c>
      <c r="DK21" s="4" t="s">
        <v>241</v>
      </c>
      <c r="DL21" s="4" t="s">
        <v>241</v>
      </c>
      <c r="DM21" s="4" t="s">
        <v>268</v>
      </c>
      <c r="DN21" s="4" t="s">
        <v>269</v>
      </c>
      <c r="DO21" s="6">
        <f>103</f>
        <v>103</v>
      </c>
      <c r="DP21" s="4" t="s">
        <v>241</v>
      </c>
      <c r="DQ21" s="4" t="s">
        <v>241</v>
      </c>
      <c r="DR21" s="4" t="s">
        <v>241</v>
      </c>
      <c r="DS21" s="4" t="s">
        <v>241</v>
      </c>
      <c r="DV21" s="4" t="s">
        <v>636</v>
      </c>
      <c r="DW21" s="4" t="s">
        <v>268</v>
      </c>
      <c r="HO21" s="4" t="s">
        <v>268</v>
      </c>
      <c r="HR21" s="4" t="s">
        <v>269</v>
      </c>
      <c r="HS21" s="4" t="s">
        <v>269</v>
      </c>
    </row>
    <row r="22" spans="1:240" x14ac:dyDescent="0.4">
      <c r="A22" s="4">
        <v>2</v>
      </c>
      <c r="B22" s="4" t="s">
        <v>239</v>
      </c>
      <c r="C22" s="4">
        <v>1099</v>
      </c>
      <c r="D22" s="4">
        <v>1</v>
      </c>
      <c r="E22" s="4">
        <v>3</v>
      </c>
      <c r="F22" s="4" t="s">
        <v>240</v>
      </c>
      <c r="G22" s="4" t="s">
        <v>241</v>
      </c>
      <c r="H22" s="4" t="s">
        <v>241</v>
      </c>
      <c r="I22" s="4" t="s">
        <v>345</v>
      </c>
      <c r="J22" s="4" t="s">
        <v>317</v>
      </c>
      <c r="K22" s="4" t="s">
        <v>249</v>
      </c>
      <c r="L22" s="4" t="s">
        <v>308</v>
      </c>
      <c r="M22" s="5" t="s">
        <v>347</v>
      </c>
      <c r="N22" s="4" t="s">
        <v>308</v>
      </c>
      <c r="O22" s="6">
        <f>29.26</f>
        <v>29.26</v>
      </c>
      <c r="P22" s="4" t="s">
        <v>267</v>
      </c>
      <c r="Q22" s="6">
        <f>376502</f>
        <v>376502</v>
      </c>
      <c r="R22" s="6">
        <f>6072570</f>
        <v>6072570</v>
      </c>
      <c r="S22" s="5" t="s">
        <v>346</v>
      </c>
      <c r="T22" s="4" t="s">
        <v>322</v>
      </c>
      <c r="U22" s="4" t="s">
        <v>288</v>
      </c>
      <c r="V22" s="6">
        <f>406862</f>
        <v>406862</v>
      </c>
      <c r="W22" s="6">
        <f>5696068</f>
        <v>5696068</v>
      </c>
      <c r="X22" s="4" t="s">
        <v>292</v>
      </c>
      <c r="Y22" s="4" t="s">
        <v>242</v>
      </c>
      <c r="Z22" s="4" t="s">
        <v>306</v>
      </c>
      <c r="AA22" s="4" t="s">
        <v>241</v>
      </c>
      <c r="AD22" s="4" t="s">
        <v>241</v>
      </c>
      <c r="AE22" s="5" t="s">
        <v>241</v>
      </c>
      <c r="AF22" s="5" t="s">
        <v>241</v>
      </c>
      <c r="AH22" s="5" t="s">
        <v>241</v>
      </c>
      <c r="AI22" s="5" t="s">
        <v>244</v>
      </c>
      <c r="AJ22" s="4" t="s">
        <v>245</v>
      </c>
      <c r="AK22" s="4" t="s">
        <v>246</v>
      </c>
      <c r="AQ22" s="4" t="s">
        <v>241</v>
      </c>
      <c r="AR22" s="4" t="s">
        <v>241</v>
      </c>
      <c r="AS22" s="4" t="s">
        <v>241</v>
      </c>
      <c r="AT22" s="5" t="s">
        <v>241</v>
      </c>
      <c r="AU22" s="5" t="s">
        <v>241</v>
      </c>
      <c r="AV22" s="5" t="s">
        <v>241</v>
      </c>
      <c r="AY22" s="4" t="s">
        <v>271</v>
      </c>
      <c r="AZ22" s="4" t="s">
        <v>271</v>
      </c>
      <c r="BA22" s="4" t="s">
        <v>247</v>
      </c>
      <c r="BB22" s="4" t="s">
        <v>272</v>
      </c>
      <c r="BC22" s="4" t="s">
        <v>248</v>
      </c>
      <c r="BD22" s="4" t="s">
        <v>241</v>
      </c>
      <c r="BE22" s="4" t="s">
        <v>250</v>
      </c>
      <c r="BF22" s="4" t="s">
        <v>241</v>
      </c>
      <c r="BJ22" s="4" t="s">
        <v>273</v>
      </c>
      <c r="BK22" s="5" t="s">
        <v>274</v>
      </c>
      <c r="BL22" s="4" t="s">
        <v>275</v>
      </c>
      <c r="BM22" s="4" t="s">
        <v>275</v>
      </c>
      <c r="BN22" s="4" t="s">
        <v>241</v>
      </c>
      <c r="BO22" s="6">
        <f>0</f>
        <v>0</v>
      </c>
      <c r="BP22" s="6">
        <f>-406862</f>
        <v>-406862</v>
      </c>
      <c r="BQ22" s="4" t="s">
        <v>255</v>
      </c>
      <c r="BR22" s="4" t="s">
        <v>256</v>
      </c>
      <c r="BS22" s="4" t="s">
        <v>241</v>
      </c>
      <c r="BT22" s="4" t="s">
        <v>241</v>
      </c>
      <c r="BU22" s="4" t="s">
        <v>241</v>
      </c>
      <c r="BV22" s="4" t="s">
        <v>241</v>
      </c>
      <c r="CE22" s="4" t="s">
        <v>256</v>
      </c>
      <c r="CF22" s="4" t="s">
        <v>241</v>
      </c>
      <c r="CG22" s="4" t="s">
        <v>241</v>
      </c>
      <c r="CK22" s="4" t="s">
        <v>276</v>
      </c>
      <c r="CL22" s="4" t="s">
        <v>258</v>
      </c>
      <c r="CM22" s="4" t="s">
        <v>241</v>
      </c>
      <c r="CO22" s="4" t="s">
        <v>287</v>
      </c>
      <c r="CP22" s="5" t="s">
        <v>260</v>
      </c>
      <c r="CQ22" s="4" t="s">
        <v>261</v>
      </c>
      <c r="CR22" s="4" t="s">
        <v>262</v>
      </c>
      <c r="CS22" s="4" t="s">
        <v>278</v>
      </c>
      <c r="CT22" s="4" t="s">
        <v>241</v>
      </c>
      <c r="CU22" s="4">
        <v>6.7000000000000004E-2</v>
      </c>
      <c r="CV22" s="4" t="s">
        <v>298</v>
      </c>
      <c r="CW22" s="4" t="s">
        <v>299</v>
      </c>
      <c r="CX22" s="4" t="s">
        <v>321</v>
      </c>
      <c r="CY22" s="6">
        <f>0</f>
        <v>0</v>
      </c>
      <c r="CZ22" s="6">
        <f>6072570</f>
        <v>6072570</v>
      </c>
      <c r="DA22" s="6">
        <f>376502</f>
        <v>376502</v>
      </c>
      <c r="DC22" s="4" t="s">
        <v>241</v>
      </c>
      <c r="DD22" s="4" t="s">
        <v>241</v>
      </c>
      <c r="DF22" s="4" t="s">
        <v>241</v>
      </c>
      <c r="DG22" s="6">
        <f>0</f>
        <v>0</v>
      </c>
      <c r="DI22" s="4" t="s">
        <v>241</v>
      </c>
      <c r="DJ22" s="4" t="s">
        <v>241</v>
      </c>
      <c r="DK22" s="4" t="s">
        <v>241</v>
      </c>
      <c r="DL22" s="4" t="s">
        <v>241</v>
      </c>
      <c r="DM22" s="4" t="s">
        <v>268</v>
      </c>
      <c r="DN22" s="4" t="s">
        <v>269</v>
      </c>
      <c r="DO22" s="6">
        <f>29.26</f>
        <v>29.26</v>
      </c>
      <c r="DP22" s="4" t="s">
        <v>241</v>
      </c>
      <c r="DQ22" s="4" t="s">
        <v>241</v>
      </c>
      <c r="DR22" s="4" t="s">
        <v>241</v>
      </c>
      <c r="DS22" s="4" t="s">
        <v>241</v>
      </c>
      <c r="DV22" s="4" t="s">
        <v>348</v>
      </c>
      <c r="DW22" s="4" t="s">
        <v>268</v>
      </c>
      <c r="GN22" s="4" t="s">
        <v>349</v>
      </c>
      <c r="HO22" s="4" t="s">
        <v>282</v>
      </c>
      <c r="HR22" s="4" t="s">
        <v>269</v>
      </c>
      <c r="HS22" s="4" t="s">
        <v>269</v>
      </c>
      <c r="HT22" s="4" t="s">
        <v>241</v>
      </c>
      <c r="HU22" s="4" t="s">
        <v>241</v>
      </c>
      <c r="HV22" s="4" t="s">
        <v>241</v>
      </c>
      <c r="HW22" s="4" t="s">
        <v>241</v>
      </c>
      <c r="HX22" s="4" t="s">
        <v>241</v>
      </c>
      <c r="HY22" s="4" t="s">
        <v>241</v>
      </c>
      <c r="HZ22" s="4" t="s">
        <v>241</v>
      </c>
      <c r="IA22" s="4" t="s">
        <v>241</v>
      </c>
      <c r="IB22" s="4" t="s">
        <v>241</v>
      </c>
      <c r="IC22" s="4" t="s">
        <v>241</v>
      </c>
      <c r="ID22" s="4" t="s">
        <v>241</v>
      </c>
      <c r="IE22" s="4" t="s">
        <v>241</v>
      </c>
      <c r="IF22" s="4" t="s">
        <v>241</v>
      </c>
    </row>
    <row r="23" spans="1:240" x14ac:dyDescent="0.4">
      <c r="A23" s="4">
        <v>2</v>
      </c>
      <c r="B23" s="4" t="s">
        <v>239</v>
      </c>
      <c r="C23" s="4">
        <v>1100</v>
      </c>
      <c r="D23" s="4">
        <v>1</v>
      </c>
      <c r="E23" s="4">
        <v>3</v>
      </c>
      <c r="F23" s="4" t="s">
        <v>240</v>
      </c>
      <c r="G23" s="4" t="s">
        <v>241</v>
      </c>
      <c r="H23" s="4" t="s">
        <v>241</v>
      </c>
      <c r="I23" s="4" t="s">
        <v>337</v>
      </c>
      <c r="J23" s="4" t="s">
        <v>317</v>
      </c>
      <c r="K23" s="4" t="s">
        <v>249</v>
      </c>
      <c r="L23" s="4" t="s">
        <v>308</v>
      </c>
      <c r="M23" s="5" t="s">
        <v>339</v>
      </c>
      <c r="N23" s="4" t="s">
        <v>308</v>
      </c>
      <c r="O23" s="6">
        <f>29.7</f>
        <v>29.7</v>
      </c>
      <c r="P23" s="4" t="s">
        <v>267</v>
      </c>
      <c r="Q23" s="6">
        <f>4414416</f>
        <v>4414416</v>
      </c>
      <c r="R23" s="6">
        <f>22522500</f>
        <v>22522500</v>
      </c>
      <c r="S23" s="5" t="s">
        <v>338</v>
      </c>
      <c r="T23" s="4" t="s">
        <v>322</v>
      </c>
      <c r="U23" s="4" t="s">
        <v>342</v>
      </c>
      <c r="V23" s="6">
        <f>1509007</f>
        <v>1509007</v>
      </c>
      <c r="W23" s="6">
        <f>18108084</f>
        <v>18108084</v>
      </c>
      <c r="X23" s="4" t="s">
        <v>292</v>
      </c>
      <c r="Y23" s="4" t="s">
        <v>242</v>
      </c>
      <c r="Z23" s="4" t="s">
        <v>306</v>
      </c>
      <c r="AA23" s="4" t="s">
        <v>241</v>
      </c>
      <c r="AD23" s="4" t="s">
        <v>241</v>
      </c>
      <c r="AE23" s="5" t="s">
        <v>241</v>
      </c>
      <c r="AF23" s="5" t="s">
        <v>241</v>
      </c>
      <c r="AH23" s="5" t="s">
        <v>241</v>
      </c>
      <c r="AI23" s="5" t="s">
        <v>244</v>
      </c>
      <c r="AJ23" s="4" t="s">
        <v>245</v>
      </c>
      <c r="AK23" s="4" t="s">
        <v>246</v>
      </c>
      <c r="AQ23" s="4" t="s">
        <v>241</v>
      </c>
      <c r="AR23" s="4" t="s">
        <v>241</v>
      </c>
      <c r="AS23" s="4" t="s">
        <v>241</v>
      </c>
      <c r="AT23" s="5" t="s">
        <v>241</v>
      </c>
      <c r="AU23" s="5" t="s">
        <v>241</v>
      </c>
      <c r="AV23" s="5" t="s">
        <v>241</v>
      </c>
      <c r="AY23" s="4" t="s">
        <v>271</v>
      </c>
      <c r="AZ23" s="4" t="s">
        <v>271</v>
      </c>
      <c r="BA23" s="4" t="s">
        <v>247</v>
      </c>
      <c r="BB23" s="4" t="s">
        <v>272</v>
      </c>
      <c r="BC23" s="4" t="s">
        <v>248</v>
      </c>
      <c r="BD23" s="4" t="s">
        <v>241</v>
      </c>
      <c r="BE23" s="4" t="s">
        <v>250</v>
      </c>
      <c r="BF23" s="4" t="s">
        <v>241</v>
      </c>
      <c r="BH23" s="4" t="s">
        <v>340</v>
      </c>
      <c r="BJ23" s="4" t="s">
        <v>273</v>
      </c>
      <c r="BK23" s="5" t="s">
        <v>274</v>
      </c>
      <c r="BL23" s="4" t="s">
        <v>275</v>
      </c>
      <c r="BM23" s="4" t="s">
        <v>275</v>
      </c>
      <c r="BN23" s="4" t="s">
        <v>241</v>
      </c>
      <c r="BO23" s="6">
        <f>0</f>
        <v>0</v>
      </c>
      <c r="BP23" s="6">
        <f>-1509007</f>
        <v>-1509007</v>
      </c>
      <c r="BQ23" s="4" t="s">
        <v>255</v>
      </c>
      <c r="BR23" s="4" t="s">
        <v>256</v>
      </c>
      <c r="BS23" s="4" t="s">
        <v>241</v>
      </c>
      <c r="BT23" s="4" t="s">
        <v>241</v>
      </c>
      <c r="BU23" s="4" t="s">
        <v>241</v>
      </c>
      <c r="BV23" s="4" t="s">
        <v>241</v>
      </c>
      <c r="CE23" s="4" t="s">
        <v>256</v>
      </c>
      <c r="CF23" s="4" t="s">
        <v>241</v>
      </c>
      <c r="CG23" s="4" t="s">
        <v>241</v>
      </c>
      <c r="CK23" s="4" t="s">
        <v>276</v>
      </c>
      <c r="CL23" s="4" t="s">
        <v>258</v>
      </c>
      <c r="CM23" s="4" t="s">
        <v>241</v>
      </c>
      <c r="CO23" s="4" t="s">
        <v>341</v>
      </c>
      <c r="CP23" s="5" t="s">
        <v>260</v>
      </c>
      <c r="CQ23" s="4" t="s">
        <v>261</v>
      </c>
      <c r="CR23" s="4" t="s">
        <v>262</v>
      </c>
      <c r="CS23" s="4" t="s">
        <v>278</v>
      </c>
      <c r="CT23" s="4" t="s">
        <v>241</v>
      </c>
      <c r="CU23" s="4">
        <v>6.7000000000000004E-2</v>
      </c>
      <c r="CV23" s="4" t="s">
        <v>298</v>
      </c>
      <c r="CW23" s="4" t="s">
        <v>299</v>
      </c>
      <c r="CX23" s="4" t="s">
        <v>321</v>
      </c>
      <c r="CY23" s="6">
        <f>0</f>
        <v>0</v>
      </c>
      <c r="CZ23" s="6">
        <f>22522500</f>
        <v>22522500</v>
      </c>
      <c r="DA23" s="6">
        <f>4414416</f>
        <v>4414416</v>
      </c>
      <c r="DC23" s="4" t="s">
        <v>241</v>
      </c>
      <c r="DD23" s="4" t="s">
        <v>241</v>
      </c>
      <c r="DF23" s="4" t="s">
        <v>241</v>
      </c>
      <c r="DG23" s="6">
        <f>0</f>
        <v>0</v>
      </c>
      <c r="DI23" s="4" t="s">
        <v>241</v>
      </c>
      <c r="DJ23" s="4" t="s">
        <v>241</v>
      </c>
      <c r="DK23" s="4" t="s">
        <v>241</v>
      </c>
      <c r="DL23" s="4" t="s">
        <v>241</v>
      </c>
      <c r="DM23" s="4" t="s">
        <v>268</v>
      </c>
      <c r="DN23" s="4" t="s">
        <v>269</v>
      </c>
      <c r="DO23" s="6">
        <f>29.7</f>
        <v>29.7</v>
      </c>
      <c r="DP23" s="4" t="s">
        <v>241</v>
      </c>
      <c r="DQ23" s="4" t="s">
        <v>241</v>
      </c>
      <c r="DR23" s="4" t="s">
        <v>241</v>
      </c>
      <c r="DS23" s="4" t="s">
        <v>241</v>
      </c>
      <c r="DV23" s="4" t="s">
        <v>343</v>
      </c>
      <c r="DW23" s="4" t="s">
        <v>268</v>
      </c>
      <c r="GN23" s="4" t="s">
        <v>344</v>
      </c>
      <c r="HO23" s="4" t="s">
        <v>282</v>
      </c>
      <c r="HR23" s="4" t="s">
        <v>269</v>
      </c>
      <c r="HS23" s="4" t="s">
        <v>269</v>
      </c>
      <c r="HT23" s="4" t="s">
        <v>241</v>
      </c>
      <c r="HU23" s="4" t="s">
        <v>241</v>
      </c>
      <c r="HV23" s="4" t="s">
        <v>241</v>
      </c>
      <c r="HW23" s="4" t="s">
        <v>241</v>
      </c>
      <c r="HX23" s="4" t="s">
        <v>241</v>
      </c>
      <c r="HY23" s="4" t="s">
        <v>241</v>
      </c>
      <c r="HZ23" s="4" t="s">
        <v>241</v>
      </c>
      <c r="IA23" s="4" t="s">
        <v>241</v>
      </c>
      <c r="IB23" s="4" t="s">
        <v>241</v>
      </c>
      <c r="IC23" s="4" t="s">
        <v>241</v>
      </c>
      <c r="ID23" s="4" t="s">
        <v>241</v>
      </c>
      <c r="IE23" s="4" t="s">
        <v>241</v>
      </c>
      <c r="IF23" s="4" t="s">
        <v>241</v>
      </c>
    </row>
    <row r="24" spans="1:240" x14ac:dyDescent="0.4">
      <c r="A24" s="4">
        <v>2</v>
      </c>
      <c r="B24" s="4" t="s">
        <v>239</v>
      </c>
      <c r="C24" s="4">
        <v>1101</v>
      </c>
      <c r="D24" s="4">
        <v>1</v>
      </c>
      <c r="E24" s="4">
        <v>3</v>
      </c>
      <c r="F24" s="4" t="s">
        <v>240</v>
      </c>
      <c r="G24" s="4" t="s">
        <v>241</v>
      </c>
      <c r="H24" s="4" t="s">
        <v>241</v>
      </c>
      <c r="I24" s="4" t="s">
        <v>333</v>
      </c>
      <c r="J24" s="4" t="s">
        <v>317</v>
      </c>
      <c r="K24" s="4" t="s">
        <v>249</v>
      </c>
      <c r="L24" s="4" t="s">
        <v>308</v>
      </c>
      <c r="M24" s="5" t="s">
        <v>334</v>
      </c>
      <c r="N24" s="4" t="s">
        <v>308</v>
      </c>
      <c r="O24" s="6">
        <f>9.93</f>
        <v>9.93</v>
      </c>
      <c r="P24" s="4" t="s">
        <v>267</v>
      </c>
      <c r="Q24" s="6">
        <f>253218</f>
        <v>253218</v>
      </c>
      <c r="R24" s="6">
        <f>4084080</f>
        <v>4084080</v>
      </c>
      <c r="S24" s="5" t="s">
        <v>286</v>
      </c>
      <c r="T24" s="4" t="s">
        <v>322</v>
      </c>
      <c r="U24" s="4" t="s">
        <v>288</v>
      </c>
      <c r="V24" s="6">
        <f>273633</f>
        <v>273633</v>
      </c>
      <c r="W24" s="6">
        <f>3830862</f>
        <v>3830862</v>
      </c>
      <c r="X24" s="4" t="s">
        <v>292</v>
      </c>
      <c r="Y24" s="4" t="s">
        <v>242</v>
      </c>
      <c r="Z24" s="4" t="s">
        <v>306</v>
      </c>
      <c r="AA24" s="4" t="s">
        <v>241</v>
      </c>
      <c r="AD24" s="4" t="s">
        <v>241</v>
      </c>
      <c r="AE24" s="5" t="s">
        <v>241</v>
      </c>
      <c r="AF24" s="5" t="s">
        <v>241</v>
      </c>
      <c r="AH24" s="5" t="s">
        <v>241</v>
      </c>
      <c r="AI24" s="5" t="s">
        <v>244</v>
      </c>
      <c r="AJ24" s="4" t="s">
        <v>245</v>
      </c>
      <c r="AK24" s="4" t="s">
        <v>246</v>
      </c>
      <c r="AQ24" s="4" t="s">
        <v>241</v>
      </c>
      <c r="AR24" s="4" t="s">
        <v>241</v>
      </c>
      <c r="AS24" s="4" t="s">
        <v>241</v>
      </c>
      <c r="AT24" s="5" t="s">
        <v>241</v>
      </c>
      <c r="AU24" s="5" t="s">
        <v>241</v>
      </c>
      <c r="AV24" s="5" t="s">
        <v>241</v>
      </c>
      <c r="AY24" s="4" t="s">
        <v>271</v>
      </c>
      <c r="AZ24" s="4" t="s">
        <v>271</v>
      </c>
      <c r="BA24" s="4" t="s">
        <v>247</v>
      </c>
      <c r="BB24" s="4" t="s">
        <v>272</v>
      </c>
      <c r="BC24" s="4" t="s">
        <v>248</v>
      </c>
      <c r="BD24" s="4" t="s">
        <v>241</v>
      </c>
      <c r="BE24" s="4" t="s">
        <v>250</v>
      </c>
      <c r="BF24" s="4" t="s">
        <v>241</v>
      </c>
      <c r="BJ24" s="4" t="s">
        <v>273</v>
      </c>
      <c r="BK24" s="5" t="s">
        <v>274</v>
      </c>
      <c r="BL24" s="4" t="s">
        <v>275</v>
      </c>
      <c r="BM24" s="4" t="s">
        <v>275</v>
      </c>
      <c r="BN24" s="4" t="s">
        <v>241</v>
      </c>
      <c r="BO24" s="6">
        <f>0</f>
        <v>0</v>
      </c>
      <c r="BP24" s="6">
        <f>-273633</f>
        <v>-273633</v>
      </c>
      <c r="BQ24" s="4" t="s">
        <v>255</v>
      </c>
      <c r="BR24" s="4" t="s">
        <v>256</v>
      </c>
      <c r="BS24" s="4" t="s">
        <v>241</v>
      </c>
      <c r="BT24" s="4" t="s">
        <v>241</v>
      </c>
      <c r="BU24" s="4" t="s">
        <v>241</v>
      </c>
      <c r="BV24" s="4" t="s">
        <v>241</v>
      </c>
      <c r="CE24" s="4" t="s">
        <v>256</v>
      </c>
      <c r="CF24" s="4" t="s">
        <v>241</v>
      </c>
      <c r="CG24" s="4" t="s">
        <v>241</v>
      </c>
      <c r="CK24" s="4" t="s">
        <v>276</v>
      </c>
      <c r="CL24" s="4" t="s">
        <v>258</v>
      </c>
      <c r="CM24" s="4" t="s">
        <v>241</v>
      </c>
      <c r="CO24" s="4" t="s">
        <v>287</v>
      </c>
      <c r="CP24" s="5" t="s">
        <v>260</v>
      </c>
      <c r="CQ24" s="4" t="s">
        <v>261</v>
      </c>
      <c r="CR24" s="4" t="s">
        <v>262</v>
      </c>
      <c r="CS24" s="4" t="s">
        <v>278</v>
      </c>
      <c r="CT24" s="4" t="s">
        <v>241</v>
      </c>
      <c r="CU24" s="4">
        <v>6.7000000000000004E-2</v>
      </c>
      <c r="CV24" s="4" t="s">
        <v>298</v>
      </c>
      <c r="CW24" s="4" t="s">
        <v>299</v>
      </c>
      <c r="CX24" s="4" t="s">
        <v>321</v>
      </c>
      <c r="CY24" s="6">
        <f>0</f>
        <v>0</v>
      </c>
      <c r="CZ24" s="6">
        <f>4084080</f>
        <v>4084080</v>
      </c>
      <c r="DA24" s="6">
        <f>253218</f>
        <v>253218</v>
      </c>
      <c r="DC24" s="4" t="s">
        <v>241</v>
      </c>
      <c r="DD24" s="4" t="s">
        <v>241</v>
      </c>
      <c r="DF24" s="4" t="s">
        <v>241</v>
      </c>
      <c r="DG24" s="6">
        <f>0</f>
        <v>0</v>
      </c>
      <c r="DI24" s="4" t="s">
        <v>241</v>
      </c>
      <c r="DJ24" s="4" t="s">
        <v>241</v>
      </c>
      <c r="DK24" s="4" t="s">
        <v>241</v>
      </c>
      <c r="DL24" s="4" t="s">
        <v>241</v>
      </c>
      <c r="DM24" s="4" t="s">
        <v>268</v>
      </c>
      <c r="DN24" s="4" t="s">
        <v>269</v>
      </c>
      <c r="DO24" s="6">
        <f>9.93</f>
        <v>9.93</v>
      </c>
      <c r="DP24" s="4" t="s">
        <v>241</v>
      </c>
      <c r="DQ24" s="4" t="s">
        <v>241</v>
      </c>
      <c r="DR24" s="4" t="s">
        <v>241</v>
      </c>
      <c r="DS24" s="4" t="s">
        <v>241</v>
      </c>
      <c r="DV24" s="4" t="s">
        <v>335</v>
      </c>
      <c r="DW24" s="4" t="s">
        <v>268</v>
      </c>
      <c r="GN24" s="4" t="s">
        <v>336</v>
      </c>
      <c r="HO24" s="4" t="s">
        <v>282</v>
      </c>
      <c r="HR24" s="4" t="s">
        <v>269</v>
      </c>
      <c r="HS24" s="4" t="s">
        <v>269</v>
      </c>
      <c r="HT24" s="4" t="s">
        <v>241</v>
      </c>
      <c r="HU24" s="4" t="s">
        <v>241</v>
      </c>
      <c r="HV24" s="4" t="s">
        <v>241</v>
      </c>
      <c r="HW24" s="4" t="s">
        <v>241</v>
      </c>
      <c r="HX24" s="4" t="s">
        <v>241</v>
      </c>
      <c r="HY24" s="4" t="s">
        <v>241</v>
      </c>
      <c r="HZ24" s="4" t="s">
        <v>241</v>
      </c>
      <c r="IA24" s="4" t="s">
        <v>241</v>
      </c>
      <c r="IB24" s="4" t="s">
        <v>241</v>
      </c>
      <c r="IC24" s="4" t="s">
        <v>241</v>
      </c>
      <c r="ID24" s="4" t="s">
        <v>241</v>
      </c>
      <c r="IE24" s="4" t="s">
        <v>241</v>
      </c>
      <c r="IF24" s="4" t="s">
        <v>241</v>
      </c>
    </row>
    <row r="25" spans="1:240" x14ac:dyDescent="0.4">
      <c r="A25" s="4">
        <v>2</v>
      </c>
      <c r="B25" s="4" t="s">
        <v>239</v>
      </c>
      <c r="C25" s="4">
        <v>1102</v>
      </c>
      <c r="D25" s="4">
        <v>1</v>
      </c>
      <c r="E25" s="4">
        <v>1</v>
      </c>
      <c r="F25" s="4" t="s">
        <v>240</v>
      </c>
      <c r="G25" s="4" t="s">
        <v>241</v>
      </c>
      <c r="H25" s="4" t="s">
        <v>241</v>
      </c>
      <c r="I25" s="4" t="s">
        <v>415</v>
      </c>
      <c r="J25" s="4" t="s">
        <v>317</v>
      </c>
      <c r="K25" s="4" t="s">
        <v>249</v>
      </c>
      <c r="L25" s="4" t="s">
        <v>308</v>
      </c>
      <c r="M25" s="5" t="s">
        <v>416</v>
      </c>
      <c r="N25" s="4" t="s">
        <v>308</v>
      </c>
      <c r="O25" s="6">
        <f>5.76</f>
        <v>5.76</v>
      </c>
      <c r="P25" s="4" t="s">
        <v>267</v>
      </c>
      <c r="Q25" s="6">
        <f>1</f>
        <v>1</v>
      </c>
      <c r="R25" s="6">
        <f>547200</f>
        <v>547200</v>
      </c>
      <c r="S25" s="5" t="s">
        <v>243</v>
      </c>
      <c r="T25" s="4" t="s">
        <v>322</v>
      </c>
      <c r="U25" s="4" t="s">
        <v>266</v>
      </c>
      <c r="W25" s="6">
        <f>547199</f>
        <v>547199</v>
      </c>
      <c r="X25" s="4" t="s">
        <v>292</v>
      </c>
      <c r="Y25" s="4" t="s">
        <v>242</v>
      </c>
      <c r="Z25" s="4" t="s">
        <v>306</v>
      </c>
      <c r="AA25" s="4" t="s">
        <v>241</v>
      </c>
      <c r="AD25" s="4" t="s">
        <v>241</v>
      </c>
      <c r="AF25" s="5" t="s">
        <v>241</v>
      </c>
      <c r="AI25" s="5" t="s">
        <v>244</v>
      </c>
      <c r="AJ25" s="4" t="s">
        <v>245</v>
      </c>
      <c r="AK25" s="4" t="s">
        <v>246</v>
      </c>
      <c r="BA25" s="4" t="s">
        <v>247</v>
      </c>
      <c r="BB25" s="4" t="s">
        <v>241</v>
      </c>
      <c r="BC25" s="4" t="s">
        <v>248</v>
      </c>
      <c r="BD25" s="4" t="s">
        <v>241</v>
      </c>
      <c r="BE25" s="4" t="s">
        <v>250</v>
      </c>
      <c r="BF25" s="4" t="s">
        <v>241</v>
      </c>
      <c r="BJ25" s="4" t="s">
        <v>251</v>
      </c>
      <c r="BK25" s="5" t="s">
        <v>252</v>
      </c>
      <c r="BL25" s="4" t="s">
        <v>253</v>
      </c>
      <c r="BM25" s="4" t="s">
        <v>254</v>
      </c>
      <c r="BN25" s="4" t="s">
        <v>241</v>
      </c>
      <c r="BO25" s="6">
        <f>0</f>
        <v>0</v>
      </c>
      <c r="BP25" s="6">
        <f>0</f>
        <v>0</v>
      </c>
      <c r="BQ25" s="4" t="s">
        <v>255</v>
      </c>
      <c r="BR25" s="4" t="s">
        <v>256</v>
      </c>
      <c r="CF25" s="4" t="s">
        <v>241</v>
      </c>
      <c r="CG25" s="4" t="s">
        <v>241</v>
      </c>
      <c r="CK25" s="4" t="s">
        <v>257</v>
      </c>
      <c r="CL25" s="4" t="s">
        <v>258</v>
      </c>
      <c r="CM25" s="4" t="s">
        <v>241</v>
      </c>
      <c r="CO25" s="4" t="s">
        <v>259</v>
      </c>
      <c r="CP25" s="5" t="s">
        <v>260</v>
      </c>
      <c r="CQ25" s="4" t="s">
        <v>261</v>
      </c>
      <c r="CR25" s="4" t="s">
        <v>262</v>
      </c>
      <c r="CS25" s="4" t="s">
        <v>241</v>
      </c>
      <c r="CT25" s="4" t="s">
        <v>241</v>
      </c>
      <c r="CU25" s="4">
        <v>0</v>
      </c>
      <c r="CV25" s="4" t="s">
        <v>298</v>
      </c>
      <c r="CW25" s="4" t="s">
        <v>299</v>
      </c>
      <c r="CX25" s="4" t="s">
        <v>321</v>
      </c>
      <c r="CZ25" s="6">
        <f>547200</f>
        <v>547200</v>
      </c>
      <c r="DA25" s="6">
        <f>0</f>
        <v>0</v>
      </c>
      <c r="DC25" s="4" t="s">
        <v>241</v>
      </c>
      <c r="DD25" s="4" t="s">
        <v>241</v>
      </c>
      <c r="DF25" s="4" t="s">
        <v>241</v>
      </c>
      <c r="DI25" s="4" t="s">
        <v>241</v>
      </c>
      <c r="DJ25" s="4" t="s">
        <v>241</v>
      </c>
      <c r="DK25" s="4" t="s">
        <v>241</v>
      </c>
      <c r="DL25" s="4" t="s">
        <v>241</v>
      </c>
      <c r="DM25" s="4" t="s">
        <v>268</v>
      </c>
      <c r="DN25" s="4" t="s">
        <v>269</v>
      </c>
      <c r="DO25" s="6">
        <f>5.76</f>
        <v>5.76</v>
      </c>
      <c r="DP25" s="4" t="s">
        <v>241</v>
      </c>
      <c r="DQ25" s="4" t="s">
        <v>241</v>
      </c>
      <c r="DR25" s="4" t="s">
        <v>241</v>
      </c>
      <c r="DS25" s="4" t="s">
        <v>241</v>
      </c>
      <c r="DV25" s="4" t="s">
        <v>417</v>
      </c>
      <c r="DW25" s="4" t="s">
        <v>268</v>
      </c>
      <c r="HO25" s="4" t="s">
        <v>268</v>
      </c>
      <c r="HR25" s="4" t="s">
        <v>269</v>
      </c>
      <c r="HS25" s="4" t="s">
        <v>269</v>
      </c>
    </row>
    <row r="26" spans="1:240" x14ac:dyDescent="0.4">
      <c r="A26" s="4">
        <v>2</v>
      </c>
      <c r="B26" s="4" t="s">
        <v>239</v>
      </c>
      <c r="C26" s="4">
        <v>1103</v>
      </c>
      <c r="D26" s="4">
        <v>1</v>
      </c>
      <c r="E26" s="4">
        <v>1</v>
      </c>
      <c r="F26" s="4" t="s">
        <v>240</v>
      </c>
      <c r="G26" s="4" t="s">
        <v>241</v>
      </c>
      <c r="H26" s="4" t="s">
        <v>241</v>
      </c>
      <c r="I26" s="4" t="s">
        <v>418</v>
      </c>
      <c r="J26" s="4" t="s">
        <v>317</v>
      </c>
      <c r="K26" s="4" t="s">
        <v>249</v>
      </c>
      <c r="L26" s="4" t="s">
        <v>308</v>
      </c>
      <c r="M26" s="5" t="s">
        <v>419</v>
      </c>
      <c r="N26" s="4" t="s">
        <v>308</v>
      </c>
      <c r="O26" s="6">
        <f>5.76</f>
        <v>5.76</v>
      </c>
      <c r="P26" s="4" t="s">
        <v>267</v>
      </c>
      <c r="Q26" s="6">
        <f>1</f>
        <v>1</v>
      </c>
      <c r="R26" s="6">
        <f>547200</f>
        <v>547200</v>
      </c>
      <c r="S26" s="5" t="s">
        <v>243</v>
      </c>
      <c r="T26" s="4" t="s">
        <v>322</v>
      </c>
      <c r="U26" s="4" t="s">
        <v>266</v>
      </c>
      <c r="W26" s="6">
        <f>547199</f>
        <v>547199</v>
      </c>
      <c r="X26" s="4" t="s">
        <v>292</v>
      </c>
      <c r="Y26" s="4" t="s">
        <v>242</v>
      </c>
      <c r="Z26" s="4" t="s">
        <v>306</v>
      </c>
      <c r="AA26" s="4" t="s">
        <v>241</v>
      </c>
      <c r="AD26" s="4" t="s">
        <v>241</v>
      </c>
      <c r="AF26" s="5" t="s">
        <v>241</v>
      </c>
      <c r="AI26" s="5" t="s">
        <v>244</v>
      </c>
      <c r="AJ26" s="4" t="s">
        <v>245</v>
      </c>
      <c r="AK26" s="4" t="s">
        <v>246</v>
      </c>
      <c r="BA26" s="4" t="s">
        <v>247</v>
      </c>
      <c r="BB26" s="4" t="s">
        <v>241</v>
      </c>
      <c r="BC26" s="4" t="s">
        <v>248</v>
      </c>
      <c r="BD26" s="4" t="s">
        <v>241</v>
      </c>
      <c r="BE26" s="4" t="s">
        <v>250</v>
      </c>
      <c r="BF26" s="4" t="s">
        <v>241</v>
      </c>
      <c r="BJ26" s="4" t="s">
        <v>399</v>
      </c>
      <c r="BK26" s="5" t="s">
        <v>244</v>
      </c>
      <c r="BL26" s="4" t="s">
        <v>253</v>
      </c>
      <c r="BM26" s="4" t="s">
        <v>254</v>
      </c>
      <c r="BN26" s="4" t="s">
        <v>241</v>
      </c>
      <c r="BO26" s="6">
        <f>0</f>
        <v>0</v>
      </c>
      <c r="BP26" s="6">
        <f>0</f>
        <v>0</v>
      </c>
      <c r="BQ26" s="4" t="s">
        <v>255</v>
      </c>
      <c r="BR26" s="4" t="s">
        <v>256</v>
      </c>
      <c r="CF26" s="4" t="s">
        <v>241</v>
      </c>
      <c r="CG26" s="4" t="s">
        <v>241</v>
      </c>
      <c r="CK26" s="4" t="s">
        <v>257</v>
      </c>
      <c r="CL26" s="4" t="s">
        <v>258</v>
      </c>
      <c r="CM26" s="4" t="s">
        <v>241</v>
      </c>
      <c r="CO26" s="4" t="s">
        <v>259</v>
      </c>
      <c r="CP26" s="5" t="s">
        <v>260</v>
      </c>
      <c r="CQ26" s="4" t="s">
        <v>261</v>
      </c>
      <c r="CR26" s="4" t="s">
        <v>262</v>
      </c>
      <c r="CS26" s="4" t="s">
        <v>241</v>
      </c>
      <c r="CT26" s="4" t="s">
        <v>241</v>
      </c>
      <c r="CU26" s="4">
        <v>0</v>
      </c>
      <c r="CV26" s="4" t="s">
        <v>298</v>
      </c>
      <c r="CW26" s="4" t="s">
        <v>299</v>
      </c>
      <c r="CX26" s="4" t="s">
        <v>321</v>
      </c>
      <c r="CZ26" s="6">
        <f>547200</f>
        <v>547200</v>
      </c>
      <c r="DA26" s="6">
        <f>0</f>
        <v>0</v>
      </c>
      <c r="DC26" s="4" t="s">
        <v>241</v>
      </c>
      <c r="DD26" s="4" t="s">
        <v>241</v>
      </c>
      <c r="DF26" s="4" t="s">
        <v>241</v>
      </c>
      <c r="DI26" s="4" t="s">
        <v>241</v>
      </c>
      <c r="DJ26" s="4" t="s">
        <v>241</v>
      </c>
      <c r="DK26" s="4" t="s">
        <v>241</v>
      </c>
      <c r="DL26" s="4" t="s">
        <v>241</v>
      </c>
      <c r="DM26" s="4" t="s">
        <v>268</v>
      </c>
      <c r="DN26" s="4" t="s">
        <v>269</v>
      </c>
      <c r="DO26" s="6">
        <f>5.76</f>
        <v>5.76</v>
      </c>
      <c r="DP26" s="4" t="s">
        <v>241</v>
      </c>
      <c r="DQ26" s="4" t="s">
        <v>241</v>
      </c>
      <c r="DR26" s="4" t="s">
        <v>241</v>
      </c>
      <c r="DS26" s="4" t="s">
        <v>241</v>
      </c>
      <c r="DV26" s="4" t="s">
        <v>420</v>
      </c>
      <c r="DW26" s="4" t="s">
        <v>268</v>
      </c>
      <c r="HO26" s="4" t="s">
        <v>268</v>
      </c>
      <c r="HR26" s="4" t="s">
        <v>269</v>
      </c>
      <c r="HS26" s="4" t="s">
        <v>269</v>
      </c>
    </row>
    <row r="27" spans="1:240" x14ac:dyDescent="0.4">
      <c r="A27" s="4">
        <v>2</v>
      </c>
      <c r="B27" s="4" t="s">
        <v>239</v>
      </c>
      <c r="C27" s="4">
        <v>1104</v>
      </c>
      <c r="D27" s="4">
        <v>1</v>
      </c>
      <c r="E27" s="4">
        <v>1</v>
      </c>
      <c r="F27" s="4" t="s">
        <v>240</v>
      </c>
      <c r="G27" s="4" t="s">
        <v>241</v>
      </c>
      <c r="H27" s="4" t="s">
        <v>241</v>
      </c>
      <c r="I27" s="4" t="s">
        <v>421</v>
      </c>
      <c r="J27" s="4" t="s">
        <v>317</v>
      </c>
      <c r="K27" s="4" t="s">
        <v>249</v>
      </c>
      <c r="L27" s="4" t="s">
        <v>308</v>
      </c>
      <c r="M27" s="5" t="s">
        <v>422</v>
      </c>
      <c r="N27" s="4" t="s">
        <v>308</v>
      </c>
      <c r="O27" s="6">
        <f>5.76</f>
        <v>5.76</v>
      </c>
      <c r="P27" s="4" t="s">
        <v>267</v>
      </c>
      <c r="Q27" s="6">
        <f>1</f>
        <v>1</v>
      </c>
      <c r="R27" s="6">
        <f>547200</f>
        <v>547200</v>
      </c>
      <c r="S27" s="5" t="s">
        <v>243</v>
      </c>
      <c r="T27" s="4" t="s">
        <v>322</v>
      </c>
      <c r="U27" s="4" t="s">
        <v>266</v>
      </c>
      <c r="W27" s="6">
        <f>547199</f>
        <v>547199</v>
      </c>
      <c r="X27" s="4" t="s">
        <v>292</v>
      </c>
      <c r="Y27" s="4" t="s">
        <v>242</v>
      </c>
      <c r="Z27" s="4" t="s">
        <v>306</v>
      </c>
      <c r="AA27" s="4" t="s">
        <v>241</v>
      </c>
      <c r="AD27" s="4" t="s">
        <v>241</v>
      </c>
      <c r="AF27" s="5" t="s">
        <v>241</v>
      </c>
      <c r="AI27" s="5" t="s">
        <v>244</v>
      </c>
      <c r="AJ27" s="4" t="s">
        <v>245</v>
      </c>
      <c r="AK27" s="4" t="s">
        <v>246</v>
      </c>
      <c r="BA27" s="4" t="s">
        <v>247</v>
      </c>
      <c r="BB27" s="4" t="s">
        <v>241</v>
      </c>
      <c r="BC27" s="4" t="s">
        <v>248</v>
      </c>
      <c r="BD27" s="4" t="s">
        <v>241</v>
      </c>
      <c r="BE27" s="4" t="s">
        <v>250</v>
      </c>
      <c r="BF27" s="4" t="s">
        <v>241</v>
      </c>
      <c r="BJ27" s="4" t="s">
        <v>399</v>
      </c>
      <c r="BK27" s="5" t="s">
        <v>244</v>
      </c>
      <c r="BL27" s="4" t="s">
        <v>253</v>
      </c>
      <c r="BM27" s="4" t="s">
        <v>254</v>
      </c>
      <c r="BN27" s="4" t="s">
        <v>241</v>
      </c>
      <c r="BO27" s="6">
        <f>0</f>
        <v>0</v>
      </c>
      <c r="BP27" s="6">
        <f>0</f>
        <v>0</v>
      </c>
      <c r="BQ27" s="4" t="s">
        <v>255</v>
      </c>
      <c r="BR27" s="4" t="s">
        <v>256</v>
      </c>
      <c r="CF27" s="4" t="s">
        <v>241</v>
      </c>
      <c r="CG27" s="4" t="s">
        <v>241</v>
      </c>
      <c r="CK27" s="4" t="s">
        <v>257</v>
      </c>
      <c r="CL27" s="4" t="s">
        <v>258</v>
      </c>
      <c r="CM27" s="4" t="s">
        <v>241</v>
      </c>
      <c r="CO27" s="4" t="s">
        <v>259</v>
      </c>
      <c r="CP27" s="5" t="s">
        <v>260</v>
      </c>
      <c r="CQ27" s="4" t="s">
        <v>261</v>
      </c>
      <c r="CR27" s="4" t="s">
        <v>262</v>
      </c>
      <c r="CS27" s="4" t="s">
        <v>241</v>
      </c>
      <c r="CT27" s="4" t="s">
        <v>241</v>
      </c>
      <c r="CU27" s="4">
        <v>0</v>
      </c>
      <c r="CV27" s="4" t="s">
        <v>298</v>
      </c>
      <c r="CW27" s="4" t="s">
        <v>299</v>
      </c>
      <c r="CX27" s="4" t="s">
        <v>321</v>
      </c>
      <c r="CZ27" s="6">
        <f>547200</f>
        <v>547200</v>
      </c>
      <c r="DA27" s="6">
        <f>0</f>
        <v>0</v>
      </c>
      <c r="DC27" s="4" t="s">
        <v>241</v>
      </c>
      <c r="DD27" s="4" t="s">
        <v>241</v>
      </c>
      <c r="DF27" s="4" t="s">
        <v>241</v>
      </c>
      <c r="DI27" s="4" t="s">
        <v>241</v>
      </c>
      <c r="DJ27" s="4" t="s">
        <v>241</v>
      </c>
      <c r="DK27" s="4" t="s">
        <v>241</v>
      </c>
      <c r="DL27" s="4" t="s">
        <v>241</v>
      </c>
      <c r="DM27" s="4" t="s">
        <v>268</v>
      </c>
      <c r="DN27" s="4" t="s">
        <v>269</v>
      </c>
      <c r="DO27" s="6">
        <f>5.76</f>
        <v>5.76</v>
      </c>
      <c r="DP27" s="4" t="s">
        <v>241</v>
      </c>
      <c r="DQ27" s="4" t="s">
        <v>241</v>
      </c>
      <c r="DR27" s="4" t="s">
        <v>241</v>
      </c>
      <c r="DS27" s="4" t="s">
        <v>241</v>
      </c>
      <c r="DV27" s="4" t="s">
        <v>423</v>
      </c>
      <c r="DW27" s="4" t="s">
        <v>268</v>
      </c>
      <c r="HO27" s="4" t="s">
        <v>268</v>
      </c>
      <c r="HR27" s="4" t="s">
        <v>269</v>
      </c>
      <c r="HS27" s="4" t="s">
        <v>269</v>
      </c>
    </row>
    <row r="28" spans="1:240" x14ac:dyDescent="0.4">
      <c r="A28" s="4">
        <v>2</v>
      </c>
      <c r="B28" s="4" t="s">
        <v>239</v>
      </c>
      <c r="C28" s="4">
        <v>1105</v>
      </c>
      <c r="D28" s="4">
        <v>1</v>
      </c>
      <c r="E28" s="4">
        <v>1</v>
      </c>
      <c r="F28" s="4" t="s">
        <v>240</v>
      </c>
      <c r="G28" s="4" t="s">
        <v>241</v>
      </c>
      <c r="H28" s="4" t="s">
        <v>241</v>
      </c>
      <c r="I28" s="4" t="s">
        <v>424</v>
      </c>
      <c r="J28" s="4" t="s">
        <v>317</v>
      </c>
      <c r="K28" s="4" t="s">
        <v>249</v>
      </c>
      <c r="L28" s="4" t="s">
        <v>308</v>
      </c>
      <c r="M28" s="5" t="s">
        <v>426</v>
      </c>
      <c r="N28" s="4" t="s">
        <v>308</v>
      </c>
      <c r="O28" s="6">
        <f>8.69</f>
        <v>8.69</v>
      </c>
      <c r="P28" s="4" t="s">
        <v>267</v>
      </c>
      <c r="Q28" s="6">
        <f>1</f>
        <v>1</v>
      </c>
      <c r="R28" s="6">
        <f>4223340</f>
        <v>4223340</v>
      </c>
      <c r="S28" s="5" t="s">
        <v>425</v>
      </c>
      <c r="T28" s="4" t="s">
        <v>322</v>
      </c>
      <c r="U28" s="4" t="s">
        <v>363</v>
      </c>
      <c r="W28" s="6">
        <f>4223339</f>
        <v>4223339</v>
      </c>
      <c r="X28" s="4" t="s">
        <v>292</v>
      </c>
      <c r="Y28" s="4" t="s">
        <v>242</v>
      </c>
      <c r="Z28" s="4" t="s">
        <v>306</v>
      </c>
      <c r="AA28" s="4" t="s">
        <v>241</v>
      </c>
      <c r="AD28" s="4" t="s">
        <v>241</v>
      </c>
      <c r="AF28" s="5" t="s">
        <v>241</v>
      </c>
      <c r="AI28" s="5" t="s">
        <v>244</v>
      </c>
      <c r="AJ28" s="4" t="s">
        <v>245</v>
      </c>
      <c r="AK28" s="4" t="s">
        <v>246</v>
      </c>
      <c r="BA28" s="4" t="s">
        <v>247</v>
      </c>
      <c r="BB28" s="4" t="s">
        <v>241</v>
      </c>
      <c r="BC28" s="4" t="s">
        <v>248</v>
      </c>
      <c r="BD28" s="4" t="s">
        <v>241</v>
      </c>
      <c r="BE28" s="4" t="s">
        <v>250</v>
      </c>
      <c r="BF28" s="4" t="s">
        <v>241</v>
      </c>
      <c r="BJ28" s="4" t="s">
        <v>427</v>
      </c>
      <c r="BK28" s="5" t="s">
        <v>428</v>
      </c>
      <c r="BL28" s="4" t="s">
        <v>253</v>
      </c>
      <c r="BM28" s="4" t="s">
        <v>254</v>
      </c>
      <c r="BN28" s="4" t="s">
        <v>241</v>
      </c>
      <c r="BO28" s="6">
        <f>0</f>
        <v>0</v>
      </c>
      <c r="BP28" s="6">
        <f>0</f>
        <v>0</v>
      </c>
      <c r="BQ28" s="4" t="s">
        <v>255</v>
      </c>
      <c r="BR28" s="4" t="s">
        <v>256</v>
      </c>
      <c r="CF28" s="4" t="s">
        <v>241</v>
      </c>
      <c r="CG28" s="4" t="s">
        <v>241</v>
      </c>
      <c r="CK28" s="4" t="s">
        <v>276</v>
      </c>
      <c r="CL28" s="4" t="s">
        <v>258</v>
      </c>
      <c r="CM28" s="4" t="s">
        <v>241</v>
      </c>
      <c r="CO28" s="4" t="s">
        <v>429</v>
      </c>
      <c r="CP28" s="5" t="s">
        <v>260</v>
      </c>
      <c r="CQ28" s="4" t="s">
        <v>261</v>
      </c>
      <c r="CR28" s="4" t="s">
        <v>262</v>
      </c>
      <c r="CS28" s="4" t="s">
        <v>241</v>
      </c>
      <c r="CT28" s="4" t="s">
        <v>241</v>
      </c>
      <c r="CU28" s="4">
        <v>0</v>
      </c>
      <c r="CV28" s="4" t="s">
        <v>298</v>
      </c>
      <c r="CW28" s="4" t="s">
        <v>299</v>
      </c>
      <c r="CX28" s="4" t="s">
        <v>321</v>
      </c>
      <c r="CZ28" s="6">
        <f>4223340</f>
        <v>4223340</v>
      </c>
      <c r="DA28" s="6">
        <f>0</f>
        <v>0</v>
      </c>
      <c r="DC28" s="4" t="s">
        <v>241</v>
      </c>
      <c r="DD28" s="4" t="s">
        <v>241</v>
      </c>
      <c r="DF28" s="4" t="s">
        <v>241</v>
      </c>
      <c r="DI28" s="4" t="s">
        <v>241</v>
      </c>
      <c r="DJ28" s="4" t="s">
        <v>241</v>
      </c>
      <c r="DK28" s="4" t="s">
        <v>241</v>
      </c>
      <c r="DL28" s="4" t="s">
        <v>241</v>
      </c>
      <c r="DM28" s="4" t="s">
        <v>268</v>
      </c>
      <c r="DN28" s="4" t="s">
        <v>269</v>
      </c>
      <c r="DO28" s="6">
        <f>8.69</f>
        <v>8.69</v>
      </c>
      <c r="DP28" s="4" t="s">
        <v>241</v>
      </c>
      <c r="DQ28" s="4" t="s">
        <v>241</v>
      </c>
      <c r="DR28" s="4" t="s">
        <v>241</v>
      </c>
      <c r="DS28" s="4" t="s">
        <v>241</v>
      </c>
      <c r="DV28" s="4" t="s">
        <v>430</v>
      </c>
      <c r="DW28" s="4" t="s">
        <v>268</v>
      </c>
      <c r="HO28" s="4" t="s">
        <v>268</v>
      </c>
      <c r="HR28" s="4" t="s">
        <v>269</v>
      </c>
      <c r="HS28" s="4" t="s">
        <v>269</v>
      </c>
    </row>
    <row r="29" spans="1:240" x14ac:dyDescent="0.4">
      <c r="A29" s="4">
        <v>2</v>
      </c>
      <c r="B29" s="4" t="s">
        <v>239</v>
      </c>
      <c r="C29" s="4">
        <v>1106</v>
      </c>
      <c r="D29" s="4">
        <v>1</v>
      </c>
      <c r="E29" s="4">
        <v>1</v>
      </c>
      <c r="F29" s="4" t="s">
        <v>240</v>
      </c>
      <c r="G29" s="4" t="s">
        <v>241</v>
      </c>
      <c r="H29" s="4" t="s">
        <v>241</v>
      </c>
      <c r="I29" s="4" t="s">
        <v>431</v>
      </c>
      <c r="J29" s="4" t="s">
        <v>317</v>
      </c>
      <c r="K29" s="4" t="s">
        <v>249</v>
      </c>
      <c r="L29" s="4" t="s">
        <v>308</v>
      </c>
      <c r="M29" s="5" t="s">
        <v>432</v>
      </c>
      <c r="N29" s="4" t="s">
        <v>308</v>
      </c>
      <c r="O29" s="6">
        <f>6.2</f>
        <v>6.2</v>
      </c>
      <c r="P29" s="4" t="s">
        <v>267</v>
      </c>
      <c r="Q29" s="6">
        <f>1</f>
        <v>1</v>
      </c>
      <c r="R29" s="6">
        <f>589000</f>
        <v>589000</v>
      </c>
      <c r="S29" s="5" t="s">
        <v>243</v>
      </c>
      <c r="T29" s="4" t="s">
        <v>322</v>
      </c>
      <c r="U29" s="4" t="s">
        <v>266</v>
      </c>
      <c r="W29" s="6">
        <f>588999</f>
        <v>588999</v>
      </c>
      <c r="X29" s="4" t="s">
        <v>292</v>
      </c>
      <c r="Y29" s="4" t="s">
        <v>242</v>
      </c>
      <c r="Z29" s="4" t="s">
        <v>306</v>
      </c>
      <c r="AA29" s="4" t="s">
        <v>241</v>
      </c>
      <c r="AD29" s="4" t="s">
        <v>241</v>
      </c>
      <c r="AF29" s="5" t="s">
        <v>241</v>
      </c>
      <c r="AI29" s="5" t="s">
        <v>244</v>
      </c>
      <c r="AJ29" s="4" t="s">
        <v>245</v>
      </c>
      <c r="AK29" s="4" t="s">
        <v>246</v>
      </c>
      <c r="BA29" s="4" t="s">
        <v>247</v>
      </c>
      <c r="BB29" s="4" t="s">
        <v>241</v>
      </c>
      <c r="BC29" s="4" t="s">
        <v>248</v>
      </c>
      <c r="BD29" s="4" t="s">
        <v>241</v>
      </c>
      <c r="BE29" s="4" t="s">
        <v>250</v>
      </c>
      <c r="BF29" s="4" t="s">
        <v>241</v>
      </c>
      <c r="BJ29" s="4" t="s">
        <v>433</v>
      </c>
      <c r="BK29" s="5" t="s">
        <v>434</v>
      </c>
      <c r="BL29" s="4" t="s">
        <v>253</v>
      </c>
      <c r="BM29" s="4" t="s">
        <v>254</v>
      </c>
      <c r="BN29" s="4" t="s">
        <v>241</v>
      </c>
      <c r="BO29" s="6">
        <f>0</f>
        <v>0</v>
      </c>
      <c r="BP29" s="6">
        <f>0</f>
        <v>0</v>
      </c>
      <c r="BQ29" s="4" t="s">
        <v>255</v>
      </c>
      <c r="BR29" s="4" t="s">
        <v>256</v>
      </c>
      <c r="CF29" s="4" t="s">
        <v>241</v>
      </c>
      <c r="CG29" s="4" t="s">
        <v>241</v>
      </c>
      <c r="CK29" s="4" t="s">
        <v>257</v>
      </c>
      <c r="CL29" s="4" t="s">
        <v>258</v>
      </c>
      <c r="CM29" s="4" t="s">
        <v>241</v>
      </c>
      <c r="CO29" s="4" t="s">
        <v>259</v>
      </c>
      <c r="CP29" s="5" t="s">
        <v>260</v>
      </c>
      <c r="CQ29" s="4" t="s">
        <v>261</v>
      </c>
      <c r="CR29" s="4" t="s">
        <v>262</v>
      </c>
      <c r="CS29" s="4" t="s">
        <v>241</v>
      </c>
      <c r="CT29" s="4" t="s">
        <v>241</v>
      </c>
      <c r="CU29" s="4">
        <v>0</v>
      </c>
      <c r="CV29" s="4" t="s">
        <v>298</v>
      </c>
      <c r="CW29" s="4" t="s">
        <v>299</v>
      </c>
      <c r="CX29" s="4" t="s">
        <v>321</v>
      </c>
      <c r="CZ29" s="6">
        <f>589000</f>
        <v>589000</v>
      </c>
      <c r="DA29" s="6">
        <f>0</f>
        <v>0</v>
      </c>
      <c r="DC29" s="4" t="s">
        <v>241</v>
      </c>
      <c r="DD29" s="4" t="s">
        <v>241</v>
      </c>
      <c r="DF29" s="4" t="s">
        <v>241</v>
      </c>
      <c r="DI29" s="4" t="s">
        <v>241</v>
      </c>
      <c r="DJ29" s="4" t="s">
        <v>241</v>
      </c>
      <c r="DK29" s="4" t="s">
        <v>241</v>
      </c>
      <c r="DL29" s="4" t="s">
        <v>241</v>
      </c>
      <c r="DM29" s="4" t="s">
        <v>268</v>
      </c>
      <c r="DN29" s="4" t="s">
        <v>269</v>
      </c>
      <c r="DO29" s="6">
        <f>6.2</f>
        <v>6.2</v>
      </c>
      <c r="DP29" s="4" t="s">
        <v>241</v>
      </c>
      <c r="DQ29" s="4" t="s">
        <v>241</v>
      </c>
      <c r="DR29" s="4" t="s">
        <v>241</v>
      </c>
      <c r="DS29" s="4" t="s">
        <v>241</v>
      </c>
      <c r="DV29" s="4" t="s">
        <v>435</v>
      </c>
      <c r="DW29" s="4" t="s">
        <v>268</v>
      </c>
      <c r="HO29" s="4" t="s">
        <v>268</v>
      </c>
      <c r="HR29" s="4" t="s">
        <v>269</v>
      </c>
      <c r="HS29" s="4" t="s">
        <v>269</v>
      </c>
    </row>
    <row r="30" spans="1:240" x14ac:dyDescent="0.4">
      <c r="A30" s="4">
        <v>2</v>
      </c>
      <c r="B30" s="4" t="s">
        <v>239</v>
      </c>
      <c r="C30" s="4">
        <v>1107</v>
      </c>
      <c r="D30" s="4">
        <v>1</v>
      </c>
      <c r="E30" s="4">
        <v>1</v>
      </c>
      <c r="F30" s="4" t="s">
        <v>240</v>
      </c>
      <c r="G30" s="4" t="s">
        <v>241</v>
      </c>
      <c r="H30" s="4" t="s">
        <v>241</v>
      </c>
      <c r="I30" s="4" t="s">
        <v>436</v>
      </c>
      <c r="J30" s="4" t="s">
        <v>317</v>
      </c>
      <c r="K30" s="4" t="s">
        <v>249</v>
      </c>
      <c r="L30" s="4" t="s">
        <v>308</v>
      </c>
      <c r="M30" s="5" t="s">
        <v>437</v>
      </c>
      <c r="N30" s="4" t="s">
        <v>308</v>
      </c>
      <c r="O30" s="6">
        <f>6.2</f>
        <v>6.2</v>
      </c>
      <c r="P30" s="4" t="s">
        <v>267</v>
      </c>
      <c r="Q30" s="6">
        <f>1</f>
        <v>1</v>
      </c>
      <c r="R30" s="6">
        <f>911400</f>
        <v>911400</v>
      </c>
      <c r="S30" s="5" t="s">
        <v>307</v>
      </c>
      <c r="T30" s="4" t="s">
        <v>322</v>
      </c>
      <c r="U30" s="4" t="s">
        <v>438</v>
      </c>
      <c r="W30" s="6">
        <f>911399</f>
        <v>911399</v>
      </c>
      <c r="X30" s="4" t="s">
        <v>292</v>
      </c>
      <c r="Y30" s="4" t="s">
        <v>242</v>
      </c>
      <c r="Z30" s="4" t="s">
        <v>306</v>
      </c>
      <c r="AA30" s="4" t="s">
        <v>241</v>
      </c>
      <c r="AD30" s="4" t="s">
        <v>241</v>
      </c>
      <c r="AF30" s="5" t="s">
        <v>241</v>
      </c>
      <c r="AI30" s="5" t="s">
        <v>244</v>
      </c>
      <c r="AJ30" s="4" t="s">
        <v>245</v>
      </c>
      <c r="AK30" s="4" t="s">
        <v>246</v>
      </c>
      <c r="BA30" s="4" t="s">
        <v>247</v>
      </c>
      <c r="BB30" s="4" t="s">
        <v>241</v>
      </c>
      <c r="BC30" s="4" t="s">
        <v>248</v>
      </c>
      <c r="BD30" s="4" t="s">
        <v>241</v>
      </c>
      <c r="BE30" s="4" t="s">
        <v>250</v>
      </c>
      <c r="BF30" s="4" t="s">
        <v>241</v>
      </c>
      <c r="BJ30" s="4" t="s">
        <v>251</v>
      </c>
      <c r="BK30" s="5" t="s">
        <v>252</v>
      </c>
      <c r="BL30" s="4" t="s">
        <v>253</v>
      </c>
      <c r="BM30" s="4" t="s">
        <v>254</v>
      </c>
      <c r="BN30" s="4" t="s">
        <v>241</v>
      </c>
      <c r="BO30" s="6">
        <f>0</f>
        <v>0</v>
      </c>
      <c r="BP30" s="6">
        <f>0</f>
        <v>0</v>
      </c>
      <c r="BQ30" s="4" t="s">
        <v>255</v>
      </c>
      <c r="BR30" s="4" t="s">
        <v>256</v>
      </c>
      <c r="CF30" s="4" t="s">
        <v>241</v>
      </c>
      <c r="CG30" s="4" t="s">
        <v>241</v>
      </c>
      <c r="CK30" s="4" t="s">
        <v>276</v>
      </c>
      <c r="CL30" s="4" t="s">
        <v>258</v>
      </c>
      <c r="CM30" s="4" t="s">
        <v>241</v>
      </c>
      <c r="CO30" s="4" t="s">
        <v>277</v>
      </c>
      <c r="CP30" s="5" t="s">
        <v>260</v>
      </c>
      <c r="CQ30" s="4" t="s">
        <v>261</v>
      </c>
      <c r="CR30" s="4" t="s">
        <v>262</v>
      </c>
      <c r="CS30" s="4" t="s">
        <v>241</v>
      </c>
      <c r="CT30" s="4" t="s">
        <v>241</v>
      </c>
      <c r="CU30" s="4">
        <v>0</v>
      </c>
      <c r="CV30" s="4" t="s">
        <v>298</v>
      </c>
      <c r="CW30" s="4" t="s">
        <v>299</v>
      </c>
      <c r="CX30" s="4" t="s">
        <v>321</v>
      </c>
      <c r="CZ30" s="6">
        <f>911400</f>
        <v>911400</v>
      </c>
      <c r="DA30" s="6">
        <f>0</f>
        <v>0</v>
      </c>
      <c r="DC30" s="4" t="s">
        <v>241</v>
      </c>
      <c r="DD30" s="4" t="s">
        <v>241</v>
      </c>
      <c r="DF30" s="4" t="s">
        <v>241</v>
      </c>
      <c r="DI30" s="4" t="s">
        <v>241</v>
      </c>
      <c r="DJ30" s="4" t="s">
        <v>241</v>
      </c>
      <c r="DK30" s="4" t="s">
        <v>241</v>
      </c>
      <c r="DL30" s="4" t="s">
        <v>241</v>
      </c>
      <c r="DM30" s="4" t="s">
        <v>268</v>
      </c>
      <c r="DN30" s="4" t="s">
        <v>269</v>
      </c>
      <c r="DO30" s="6">
        <f>6.2</f>
        <v>6.2</v>
      </c>
      <c r="DP30" s="4" t="s">
        <v>241</v>
      </c>
      <c r="DQ30" s="4" t="s">
        <v>241</v>
      </c>
      <c r="DR30" s="4" t="s">
        <v>241</v>
      </c>
      <c r="DS30" s="4" t="s">
        <v>241</v>
      </c>
      <c r="DV30" s="4" t="s">
        <v>439</v>
      </c>
      <c r="DW30" s="4" t="s">
        <v>268</v>
      </c>
      <c r="HO30" s="4" t="s">
        <v>268</v>
      </c>
      <c r="HR30" s="4" t="s">
        <v>269</v>
      </c>
      <c r="HS30" s="4" t="s">
        <v>269</v>
      </c>
    </row>
    <row r="31" spans="1:240" x14ac:dyDescent="0.4">
      <c r="A31" s="4">
        <v>2</v>
      </c>
      <c r="B31" s="4" t="s">
        <v>239</v>
      </c>
      <c r="C31" s="4">
        <v>1108</v>
      </c>
      <c r="D31" s="4">
        <v>1</v>
      </c>
      <c r="E31" s="4">
        <v>1</v>
      </c>
      <c r="F31" s="4" t="s">
        <v>240</v>
      </c>
      <c r="G31" s="4" t="s">
        <v>241</v>
      </c>
      <c r="H31" s="4" t="s">
        <v>241</v>
      </c>
      <c r="I31" s="4" t="s">
        <v>440</v>
      </c>
      <c r="J31" s="4" t="s">
        <v>317</v>
      </c>
      <c r="K31" s="4" t="s">
        <v>249</v>
      </c>
      <c r="L31" s="4" t="s">
        <v>308</v>
      </c>
      <c r="M31" s="5" t="s">
        <v>442</v>
      </c>
      <c r="N31" s="4" t="s">
        <v>308</v>
      </c>
      <c r="O31" s="6">
        <f>9.94</f>
        <v>9.94</v>
      </c>
      <c r="P31" s="4" t="s">
        <v>267</v>
      </c>
      <c r="Q31" s="6">
        <f>1</f>
        <v>1</v>
      </c>
      <c r="R31" s="6">
        <f>944300</f>
        <v>944300</v>
      </c>
      <c r="S31" s="5" t="s">
        <v>243</v>
      </c>
      <c r="T31" s="4" t="s">
        <v>322</v>
      </c>
      <c r="U31" s="4" t="s">
        <v>266</v>
      </c>
      <c r="W31" s="6">
        <f>944299</f>
        <v>944299</v>
      </c>
      <c r="X31" s="4" t="s">
        <v>292</v>
      </c>
      <c r="Y31" s="4" t="s">
        <v>242</v>
      </c>
      <c r="Z31" s="4" t="s">
        <v>306</v>
      </c>
      <c r="AA31" s="4" t="s">
        <v>241</v>
      </c>
      <c r="AD31" s="4" t="s">
        <v>241</v>
      </c>
      <c r="AF31" s="5" t="s">
        <v>241</v>
      </c>
      <c r="AI31" s="5" t="s">
        <v>441</v>
      </c>
      <c r="AJ31" s="4" t="s">
        <v>245</v>
      </c>
      <c r="AK31" s="4" t="s">
        <v>246</v>
      </c>
      <c r="BA31" s="4" t="s">
        <v>247</v>
      </c>
      <c r="BB31" s="4" t="s">
        <v>241</v>
      </c>
      <c r="BC31" s="4" t="s">
        <v>248</v>
      </c>
      <c r="BD31" s="4" t="s">
        <v>241</v>
      </c>
      <c r="BE31" s="4" t="s">
        <v>250</v>
      </c>
      <c r="BF31" s="4" t="s">
        <v>241</v>
      </c>
      <c r="BJ31" s="4" t="s">
        <v>433</v>
      </c>
      <c r="BK31" s="5" t="s">
        <v>441</v>
      </c>
      <c r="BL31" s="4" t="s">
        <v>253</v>
      </c>
      <c r="BM31" s="4" t="s">
        <v>254</v>
      </c>
      <c r="BN31" s="4" t="s">
        <v>241</v>
      </c>
      <c r="BO31" s="6">
        <f>0</f>
        <v>0</v>
      </c>
      <c r="BP31" s="6">
        <f>0</f>
        <v>0</v>
      </c>
      <c r="BQ31" s="4" t="s">
        <v>255</v>
      </c>
      <c r="BR31" s="4" t="s">
        <v>256</v>
      </c>
      <c r="CF31" s="4" t="s">
        <v>241</v>
      </c>
      <c r="CG31" s="4" t="s">
        <v>241</v>
      </c>
      <c r="CK31" s="4" t="s">
        <v>257</v>
      </c>
      <c r="CL31" s="4" t="s">
        <v>258</v>
      </c>
      <c r="CM31" s="4" t="s">
        <v>241</v>
      </c>
      <c r="CO31" s="4" t="s">
        <v>259</v>
      </c>
      <c r="CP31" s="5" t="s">
        <v>260</v>
      </c>
      <c r="CQ31" s="4" t="s">
        <v>261</v>
      </c>
      <c r="CR31" s="4" t="s">
        <v>262</v>
      </c>
      <c r="CS31" s="4" t="s">
        <v>241</v>
      </c>
      <c r="CT31" s="4" t="s">
        <v>241</v>
      </c>
      <c r="CU31" s="4">
        <v>0</v>
      </c>
      <c r="CV31" s="4" t="s">
        <v>298</v>
      </c>
      <c r="CW31" s="4" t="s">
        <v>299</v>
      </c>
      <c r="CX31" s="4" t="s">
        <v>321</v>
      </c>
      <c r="CZ31" s="6">
        <f>944300</f>
        <v>944300</v>
      </c>
      <c r="DA31" s="6">
        <f>0</f>
        <v>0</v>
      </c>
      <c r="DC31" s="4" t="s">
        <v>241</v>
      </c>
      <c r="DD31" s="4" t="s">
        <v>241</v>
      </c>
      <c r="DF31" s="4" t="s">
        <v>241</v>
      </c>
      <c r="DI31" s="4" t="s">
        <v>241</v>
      </c>
      <c r="DJ31" s="4" t="s">
        <v>241</v>
      </c>
      <c r="DK31" s="4" t="s">
        <v>241</v>
      </c>
      <c r="DL31" s="4" t="s">
        <v>241</v>
      </c>
      <c r="DM31" s="4" t="s">
        <v>268</v>
      </c>
      <c r="DN31" s="4" t="s">
        <v>269</v>
      </c>
      <c r="DO31" s="6">
        <f>9.94</f>
        <v>9.94</v>
      </c>
      <c r="DP31" s="4" t="s">
        <v>241</v>
      </c>
      <c r="DQ31" s="4" t="s">
        <v>241</v>
      </c>
      <c r="DR31" s="4" t="s">
        <v>241</v>
      </c>
      <c r="DS31" s="4" t="s">
        <v>241</v>
      </c>
      <c r="DV31" s="4" t="s">
        <v>443</v>
      </c>
      <c r="DW31" s="4" t="s">
        <v>268</v>
      </c>
      <c r="HO31" s="4" t="s">
        <v>268</v>
      </c>
      <c r="HR31" s="4" t="s">
        <v>269</v>
      </c>
      <c r="HS31" s="4" t="s">
        <v>269</v>
      </c>
    </row>
    <row r="32" spans="1:240" x14ac:dyDescent="0.4">
      <c r="A32" s="4">
        <v>2</v>
      </c>
      <c r="B32" s="4" t="s">
        <v>239</v>
      </c>
      <c r="C32" s="4">
        <v>1109</v>
      </c>
      <c r="D32" s="4">
        <v>1</v>
      </c>
      <c r="E32" s="4">
        <v>1</v>
      </c>
      <c r="F32" s="4" t="s">
        <v>240</v>
      </c>
      <c r="G32" s="4" t="s">
        <v>241</v>
      </c>
      <c r="H32" s="4" t="s">
        <v>241</v>
      </c>
      <c r="I32" s="4" t="s">
        <v>444</v>
      </c>
      <c r="J32" s="4" t="s">
        <v>317</v>
      </c>
      <c r="K32" s="4" t="s">
        <v>249</v>
      </c>
      <c r="L32" s="4" t="s">
        <v>308</v>
      </c>
      <c r="M32" s="5" t="s">
        <v>446</v>
      </c>
      <c r="N32" s="4" t="s">
        <v>308</v>
      </c>
      <c r="O32" s="6">
        <f>6.2</f>
        <v>6.2</v>
      </c>
      <c r="P32" s="4" t="s">
        <v>267</v>
      </c>
      <c r="Q32" s="6">
        <f>1</f>
        <v>1</v>
      </c>
      <c r="R32" s="6">
        <f>589000</f>
        <v>589000</v>
      </c>
      <c r="S32" s="5" t="s">
        <v>445</v>
      </c>
      <c r="T32" s="4" t="s">
        <v>322</v>
      </c>
      <c r="U32" s="4" t="s">
        <v>355</v>
      </c>
      <c r="W32" s="6">
        <f>588999</f>
        <v>588999</v>
      </c>
      <c r="X32" s="4" t="s">
        <v>292</v>
      </c>
      <c r="Y32" s="4" t="s">
        <v>242</v>
      </c>
      <c r="Z32" s="4" t="s">
        <v>306</v>
      </c>
      <c r="AA32" s="4" t="s">
        <v>241</v>
      </c>
      <c r="AD32" s="4" t="s">
        <v>241</v>
      </c>
      <c r="AF32" s="5" t="s">
        <v>241</v>
      </c>
      <c r="AI32" s="5" t="s">
        <v>441</v>
      </c>
      <c r="AJ32" s="4" t="s">
        <v>245</v>
      </c>
      <c r="AK32" s="4" t="s">
        <v>246</v>
      </c>
      <c r="BA32" s="4" t="s">
        <v>247</v>
      </c>
      <c r="BB32" s="4" t="s">
        <v>241</v>
      </c>
      <c r="BC32" s="4" t="s">
        <v>248</v>
      </c>
      <c r="BD32" s="4" t="s">
        <v>241</v>
      </c>
      <c r="BE32" s="4" t="s">
        <v>250</v>
      </c>
      <c r="BF32" s="4" t="s">
        <v>241</v>
      </c>
      <c r="BJ32" s="4" t="s">
        <v>433</v>
      </c>
      <c r="BK32" s="5" t="s">
        <v>434</v>
      </c>
      <c r="BL32" s="4" t="s">
        <v>253</v>
      </c>
      <c r="BM32" s="4" t="s">
        <v>254</v>
      </c>
      <c r="BN32" s="4" t="s">
        <v>241</v>
      </c>
      <c r="BO32" s="6">
        <f>0</f>
        <v>0</v>
      </c>
      <c r="BP32" s="6">
        <f>0</f>
        <v>0</v>
      </c>
      <c r="BQ32" s="4" t="s">
        <v>255</v>
      </c>
      <c r="BR32" s="4" t="s">
        <v>256</v>
      </c>
      <c r="CF32" s="4" t="s">
        <v>241</v>
      </c>
      <c r="CG32" s="4" t="s">
        <v>241</v>
      </c>
      <c r="CK32" s="4" t="s">
        <v>257</v>
      </c>
      <c r="CL32" s="4" t="s">
        <v>258</v>
      </c>
      <c r="CM32" s="4" t="s">
        <v>241</v>
      </c>
      <c r="CO32" s="4" t="s">
        <v>447</v>
      </c>
      <c r="CP32" s="5" t="s">
        <v>260</v>
      </c>
      <c r="CQ32" s="4" t="s">
        <v>261</v>
      </c>
      <c r="CR32" s="4" t="s">
        <v>262</v>
      </c>
      <c r="CS32" s="4" t="s">
        <v>241</v>
      </c>
      <c r="CT32" s="4" t="s">
        <v>241</v>
      </c>
      <c r="CU32" s="4">
        <v>0</v>
      </c>
      <c r="CV32" s="4" t="s">
        <v>298</v>
      </c>
      <c r="CW32" s="4" t="s">
        <v>299</v>
      </c>
      <c r="CX32" s="4" t="s">
        <v>321</v>
      </c>
      <c r="CZ32" s="6">
        <f>589000</f>
        <v>589000</v>
      </c>
      <c r="DA32" s="6">
        <f>0</f>
        <v>0</v>
      </c>
      <c r="DC32" s="4" t="s">
        <v>241</v>
      </c>
      <c r="DD32" s="4" t="s">
        <v>241</v>
      </c>
      <c r="DF32" s="4" t="s">
        <v>241</v>
      </c>
      <c r="DI32" s="4" t="s">
        <v>241</v>
      </c>
      <c r="DJ32" s="4" t="s">
        <v>241</v>
      </c>
      <c r="DK32" s="4" t="s">
        <v>241</v>
      </c>
      <c r="DL32" s="4" t="s">
        <v>241</v>
      </c>
      <c r="DM32" s="4" t="s">
        <v>268</v>
      </c>
      <c r="DN32" s="4" t="s">
        <v>269</v>
      </c>
      <c r="DO32" s="6">
        <f>6.2</f>
        <v>6.2</v>
      </c>
      <c r="DP32" s="4" t="s">
        <v>241</v>
      </c>
      <c r="DQ32" s="4" t="s">
        <v>241</v>
      </c>
      <c r="DR32" s="4" t="s">
        <v>241</v>
      </c>
      <c r="DS32" s="4" t="s">
        <v>241</v>
      </c>
      <c r="DV32" s="4" t="s">
        <v>448</v>
      </c>
      <c r="DW32" s="4" t="s">
        <v>268</v>
      </c>
      <c r="HO32" s="4" t="s">
        <v>268</v>
      </c>
      <c r="HR32" s="4" t="s">
        <v>269</v>
      </c>
      <c r="HS32" s="4" t="s">
        <v>269</v>
      </c>
    </row>
    <row r="33" spans="1:240" x14ac:dyDescent="0.4">
      <c r="A33" s="4">
        <v>2</v>
      </c>
      <c r="B33" s="4" t="s">
        <v>239</v>
      </c>
      <c r="C33" s="4">
        <v>1110</v>
      </c>
      <c r="D33" s="4">
        <v>1</v>
      </c>
      <c r="E33" s="4">
        <v>1</v>
      </c>
      <c r="F33" s="4" t="s">
        <v>240</v>
      </c>
      <c r="G33" s="4" t="s">
        <v>241</v>
      </c>
      <c r="H33" s="4" t="s">
        <v>241</v>
      </c>
      <c r="I33" s="4" t="s">
        <v>449</v>
      </c>
      <c r="J33" s="4" t="s">
        <v>317</v>
      </c>
      <c r="K33" s="4" t="s">
        <v>249</v>
      </c>
      <c r="L33" s="4" t="s">
        <v>308</v>
      </c>
      <c r="M33" s="5" t="s">
        <v>451</v>
      </c>
      <c r="N33" s="4" t="s">
        <v>308</v>
      </c>
      <c r="O33" s="6">
        <f>15.73</f>
        <v>15.73</v>
      </c>
      <c r="P33" s="4" t="s">
        <v>267</v>
      </c>
      <c r="Q33" s="6">
        <f>1</f>
        <v>1</v>
      </c>
      <c r="R33" s="6">
        <f>2312310</f>
        <v>2312310</v>
      </c>
      <c r="S33" s="5" t="s">
        <v>450</v>
      </c>
      <c r="T33" s="4" t="s">
        <v>322</v>
      </c>
      <c r="U33" s="4" t="s">
        <v>453</v>
      </c>
      <c r="W33" s="6">
        <f>2312309</f>
        <v>2312309</v>
      </c>
      <c r="X33" s="4" t="s">
        <v>292</v>
      </c>
      <c r="Y33" s="4" t="s">
        <v>242</v>
      </c>
      <c r="Z33" s="4" t="s">
        <v>306</v>
      </c>
      <c r="AA33" s="4" t="s">
        <v>241</v>
      </c>
      <c r="AD33" s="4" t="s">
        <v>241</v>
      </c>
      <c r="AF33" s="5" t="s">
        <v>241</v>
      </c>
      <c r="AI33" s="5" t="s">
        <v>441</v>
      </c>
      <c r="AJ33" s="4" t="s">
        <v>245</v>
      </c>
      <c r="AK33" s="4" t="s">
        <v>246</v>
      </c>
      <c r="BA33" s="4" t="s">
        <v>247</v>
      </c>
      <c r="BB33" s="4" t="s">
        <v>241</v>
      </c>
      <c r="BC33" s="4" t="s">
        <v>248</v>
      </c>
      <c r="BD33" s="4" t="s">
        <v>241</v>
      </c>
      <c r="BE33" s="4" t="s">
        <v>250</v>
      </c>
      <c r="BF33" s="4" t="s">
        <v>241</v>
      </c>
      <c r="BJ33" s="4" t="s">
        <v>251</v>
      </c>
      <c r="BK33" s="5" t="s">
        <v>252</v>
      </c>
      <c r="BL33" s="4" t="s">
        <v>253</v>
      </c>
      <c r="BM33" s="4" t="s">
        <v>254</v>
      </c>
      <c r="BN33" s="4" t="s">
        <v>241</v>
      </c>
      <c r="BO33" s="6">
        <f>0</f>
        <v>0</v>
      </c>
      <c r="BP33" s="6">
        <f>0</f>
        <v>0</v>
      </c>
      <c r="BQ33" s="4" t="s">
        <v>255</v>
      </c>
      <c r="BR33" s="4" t="s">
        <v>256</v>
      </c>
      <c r="CF33" s="4" t="s">
        <v>241</v>
      </c>
      <c r="CG33" s="4" t="s">
        <v>241</v>
      </c>
      <c r="CK33" s="4" t="s">
        <v>276</v>
      </c>
      <c r="CL33" s="4" t="s">
        <v>258</v>
      </c>
      <c r="CM33" s="4" t="s">
        <v>241</v>
      </c>
      <c r="CO33" s="4" t="s">
        <v>452</v>
      </c>
      <c r="CP33" s="5" t="s">
        <v>260</v>
      </c>
      <c r="CQ33" s="4" t="s">
        <v>261</v>
      </c>
      <c r="CR33" s="4" t="s">
        <v>262</v>
      </c>
      <c r="CS33" s="4" t="s">
        <v>241</v>
      </c>
      <c r="CT33" s="4" t="s">
        <v>241</v>
      </c>
      <c r="CU33" s="4">
        <v>0</v>
      </c>
      <c r="CV33" s="4" t="s">
        <v>298</v>
      </c>
      <c r="CW33" s="4" t="s">
        <v>299</v>
      </c>
      <c r="CX33" s="4" t="s">
        <v>321</v>
      </c>
      <c r="CZ33" s="6">
        <f>2312310</f>
        <v>2312310</v>
      </c>
      <c r="DA33" s="6">
        <f>0</f>
        <v>0</v>
      </c>
      <c r="DC33" s="4" t="s">
        <v>241</v>
      </c>
      <c r="DD33" s="4" t="s">
        <v>241</v>
      </c>
      <c r="DF33" s="4" t="s">
        <v>241</v>
      </c>
      <c r="DI33" s="4" t="s">
        <v>241</v>
      </c>
      <c r="DJ33" s="4" t="s">
        <v>241</v>
      </c>
      <c r="DK33" s="4" t="s">
        <v>241</v>
      </c>
      <c r="DL33" s="4" t="s">
        <v>241</v>
      </c>
      <c r="DM33" s="4" t="s">
        <v>268</v>
      </c>
      <c r="DN33" s="4" t="s">
        <v>269</v>
      </c>
      <c r="DO33" s="6">
        <f>15.73</f>
        <v>15.73</v>
      </c>
      <c r="DP33" s="4" t="s">
        <v>241</v>
      </c>
      <c r="DQ33" s="4" t="s">
        <v>241</v>
      </c>
      <c r="DR33" s="4" t="s">
        <v>241</v>
      </c>
      <c r="DS33" s="4" t="s">
        <v>241</v>
      </c>
      <c r="DV33" s="4" t="s">
        <v>454</v>
      </c>
      <c r="DW33" s="4" t="s">
        <v>268</v>
      </c>
      <c r="HO33" s="4" t="s">
        <v>268</v>
      </c>
      <c r="HR33" s="4" t="s">
        <v>269</v>
      </c>
      <c r="HS33" s="4" t="s">
        <v>269</v>
      </c>
    </row>
    <row r="34" spans="1:240" x14ac:dyDescent="0.4">
      <c r="A34" s="4">
        <v>2</v>
      </c>
      <c r="B34" s="4" t="s">
        <v>239</v>
      </c>
      <c r="C34" s="4">
        <v>1111</v>
      </c>
      <c r="D34" s="4">
        <v>1</v>
      </c>
      <c r="E34" s="4">
        <v>1</v>
      </c>
      <c r="F34" s="4" t="s">
        <v>240</v>
      </c>
      <c r="G34" s="4" t="s">
        <v>241</v>
      </c>
      <c r="H34" s="4" t="s">
        <v>241</v>
      </c>
      <c r="I34" s="4" t="s">
        <v>455</v>
      </c>
      <c r="J34" s="4" t="s">
        <v>317</v>
      </c>
      <c r="K34" s="4" t="s">
        <v>249</v>
      </c>
      <c r="L34" s="4" t="s">
        <v>308</v>
      </c>
      <c r="M34" s="5" t="s">
        <v>457</v>
      </c>
      <c r="N34" s="4" t="s">
        <v>308</v>
      </c>
      <c r="O34" s="6">
        <f>7.73</f>
        <v>7.73</v>
      </c>
      <c r="P34" s="4" t="s">
        <v>267</v>
      </c>
      <c r="Q34" s="6">
        <f>1</f>
        <v>1</v>
      </c>
      <c r="R34" s="6">
        <f>1136310</f>
        <v>1136310</v>
      </c>
      <c r="S34" s="5" t="s">
        <v>456</v>
      </c>
      <c r="T34" s="4" t="s">
        <v>322</v>
      </c>
      <c r="U34" s="4" t="s">
        <v>453</v>
      </c>
      <c r="W34" s="6">
        <f>1136309</f>
        <v>1136309</v>
      </c>
      <c r="X34" s="4" t="s">
        <v>292</v>
      </c>
      <c r="Y34" s="4" t="s">
        <v>242</v>
      </c>
      <c r="Z34" s="4" t="s">
        <v>306</v>
      </c>
      <c r="AA34" s="4" t="s">
        <v>241</v>
      </c>
      <c r="AD34" s="4" t="s">
        <v>241</v>
      </c>
      <c r="AF34" s="5" t="s">
        <v>241</v>
      </c>
      <c r="AI34" s="5" t="s">
        <v>244</v>
      </c>
      <c r="AJ34" s="4" t="s">
        <v>245</v>
      </c>
      <c r="AK34" s="4" t="s">
        <v>246</v>
      </c>
      <c r="BA34" s="4" t="s">
        <v>247</v>
      </c>
      <c r="BB34" s="4" t="s">
        <v>241</v>
      </c>
      <c r="BC34" s="4" t="s">
        <v>248</v>
      </c>
      <c r="BD34" s="4" t="s">
        <v>241</v>
      </c>
      <c r="BE34" s="4" t="s">
        <v>250</v>
      </c>
      <c r="BF34" s="4" t="s">
        <v>241</v>
      </c>
      <c r="BJ34" s="4" t="s">
        <v>399</v>
      </c>
      <c r="BK34" s="5" t="s">
        <v>244</v>
      </c>
      <c r="BL34" s="4" t="s">
        <v>253</v>
      </c>
      <c r="BM34" s="4" t="s">
        <v>254</v>
      </c>
      <c r="BN34" s="4" t="s">
        <v>241</v>
      </c>
      <c r="BO34" s="6">
        <f>0</f>
        <v>0</v>
      </c>
      <c r="BP34" s="6">
        <f>0</f>
        <v>0</v>
      </c>
      <c r="BQ34" s="4" t="s">
        <v>255</v>
      </c>
      <c r="BR34" s="4" t="s">
        <v>256</v>
      </c>
      <c r="CF34" s="4" t="s">
        <v>241</v>
      </c>
      <c r="CG34" s="4" t="s">
        <v>241</v>
      </c>
      <c r="CK34" s="4" t="s">
        <v>276</v>
      </c>
      <c r="CL34" s="4" t="s">
        <v>258</v>
      </c>
      <c r="CM34" s="4" t="s">
        <v>241</v>
      </c>
      <c r="CO34" s="4" t="s">
        <v>452</v>
      </c>
      <c r="CP34" s="5" t="s">
        <v>260</v>
      </c>
      <c r="CQ34" s="4" t="s">
        <v>261</v>
      </c>
      <c r="CR34" s="4" t="s">
        <v>262</v>
      </c>
      <c r="CS34" s="4" t="s">
        <v>241</v>
      </c>
      <c r="CT34" s="4" t="s">
        <v>241</v>
      </c>
      <c r="CU34" s="4">
        <v>0</v>
      </c>
      <c r="CV34" s="4" t="s">
        <v>298</v>
      </c>
      <c r="CW34" s="4" t="s">
        <v>299</v>
      </c>
      <c r="CX34" s="4" t="s">
        <v>321</v>
      </c>
      <c r="CZ34" s="6">
        <f>1136310</f>
        <v>1136310</v>
      </c>
      <c r="DA34" s="6">
        <f>0</f>
        <v>0</v>
      </c>
      <c r="DC34" s="4" t="s">
        <v>241</v>
      </c>
      <c r="DD34" s="4" t="s">
        <v>241</v>
      </c>
      <c r="DF34" s="4" t="s">
        <v>241</v>
      </c>
      <c r="DI34" s="4" t="s">
        <v>241</v>
      </c>
      <c r="DJ34" s="4" t="s">
        <v>241</v>
      </c>
      <c r="DK34" s="4" t="s">
        <v>241</v>
      </c>
      <c r="DL34" s="4" t="s">
        <v>241</v>
      </c>
      <c r="DM34" s="4" t="s">
        <v>268</v>
      </c>
      <c r="DN34" s="4" t="s">
        <v>269</v>
      </c>
      <c r="DO34" s="6">
        <f>7.73</f>
        <v>7.73</v>
      </c>
      <c r="DP34" s="4" t="s">
        <v>241</v>
      </c>
      <c r="DQ34" s="4" t="s">
        <v>241</v>
      </c>
      <c r="DR34" s="4" t="s">
        <v>241</v>
      </c>
      <c r="DS34" s="4" t="s">
        <v>241</v>
      </c>
      <c r="DV34" s="4" t="s">
        <v>458</v>
      </c>
      <c r="DW34" s="4" t="s">
        <v>268</v>
      </c>
      <c r="HO34" s="4" t="s">
        <v>268</v>
      </c>
      <c r="HR34" s="4" t="s">
        <v>269</v>
      </c>
      <c r="HS34" s="4" t="s">
        <v>269</v>
      </c>
    </row>
    <row r="35" spans="1:240" x14ac:dyDescent="0.4">
      <c r="A35" s="4">
        <v>2</v>
      </c>
      <c r="B35" s="4" t="s">
        <v>239</v>
      </c>
      <c r="C35" s="4">
        <v>1112</v>
      </c>
      <c r="D35" s="4">
        <v>1</v>
      </c>
      <c r="E35" s="4">
        <v>1</v>
      </c>
      <c r="F35" s="4" t="s">
        <v>240</v>
      </c>
      <c r="G35" s="4" t="s">
        <v>241</v>
      </c>
      <c r="H35" s="4" t="s">
        <v>241</v>
      </c>
      <c r="I35" s="4" t="s">
        <v>459</v>
      </c>
      <c r="J35" s="4" t="s">
        <v>317</v>
      </c>
      <c r="K35" s="4" t="s">
        <v>249</v>
      </c>
      <c r="L35" s="4" t="s">
        <v>308</v>
      </c>
      <c r="M35" s="5" t="s">
        <v>460</v>
      </c>
      <c r="N35" s="4" t="s">
        <v>308</v>
      </c>
      <c r="O35" s="6">
        <f>7.45</f>
        <v>7.45</v>
      </c>
      <c r="P35" s="4" t="s">
        <v>267</v>
      </c>
      <c r="Q35" s="6">
        <f>1</f>
        <v>1</v>
      </c>
      <c r="R35" s="6">
        <f>1095150</f>
        <v>1095150</v>
      </c>
      <c r="S35" s="5" t="s">
        <v>456</v>
      </c>
      <c r="T35" s="4" t="s">
        <v>322</v>
      </c>
      <c r="U35" s="4" t="s">
        <v>453</v>
      </c>
      <c r="W35" s="6">
        <f>1095149</f>
        <v>1095149</v>
      </c>
      <c r="X35" s="4" t="s">
        <v>292</v>
      </c>
      <c r="Y35" s="4" t="s">
        <v>242</v>
      </c>
      <c r="Z35" s="4" t="s">
        <v>306</v>
      </c>
      <c r="AA35" s="4" t="s">
        <v>241</v>
      </c>
      <c r="AD35" s="4" t="s">
        <v>241</v>
      </c>
      <c r="AF35" s="5" t="s">
        <v>241</v>
      </c>
      <c r="AI35" s="5" t="s">
        <v>244</v>
      </c>
      <c r="AJ35" s="4" t="s">
        <v>245</v>
      </c>
      <c r="AK35" s="4" t="s">
        <v>246</v>
      </c>
      <c r="BA35" s="4" t="s">
        <v>247</v>
      </c>
      <c r="BB35" s="4" t="s">
        <v>241</v>
      </c>
      <c r="BC35" s="4" t="s">
        <v>248</v>
      </c>
      <c r="BD35" s="4" t="s">
        <v>241</v>
      </c>
      <c r="BE35" s="4" t="s">
        <v>250</v>
      </c>
      <c r="BF35" s="4" t="s">
        <v>241</v>
      </c>
      <c r="BJ35" s="4" t="s">
        <v>427</v>
      </c>
      <c r="BK35" s="5" t="s">
        <v>428</v>
      </c>
      <c r="BL35" s="4" t="s">
        <v>253</v>
      </c>
      <c r="BM35" s="4" t="s">
        <v>254</v>
      </c>
      <c r="BN35" s="4" t="s">
        <v>241</v>
      </c>
      <c r="BO35" s="6">
        <f>0</f>
        <v>0</v>
      </c>
      <c r="BP35" s="6">
        <f>0</f>
        <v>0</v>
      </c>
      <c r="BQ35" s="4" t="s">
        <v>255</v>
      </c>
      <c r="BR35" s="4" t="s">
        <v>256</v>
      </c>
      <c r="CF35" s="4" t="s">
        <v>241</v>
      </c>
      <c r="CG35" s="4" t="s">
        <v>241</v>
      </c>
      <c r="CK35" s="4" t="s">
        <v>276</v>
      </c>
      <c r="CL35" s="4" t="s">
        <v>258</v>
      </c>
      <c r="CM35" s="4" t="s">
        <v>241</v>
      </c>
      <c r="CO35" s="4" t="s">
        <v>452</v>
      </c>
      <c r="CP35" s="5" t="s">
        <v>260</v>
      </c>
      <c r="CQ35" s="4" t="s">
        <v>261</v>
      </c>
      <c r="CR35" s="4" t="s">
        <v>262</v>
      </c>
      <c r="CS35" s="4" t="s">
        <v>241</v>
      </c>
      <c r="CT35" s="4" t="s">
        <v>241</v>
      </c>
      <c r="CU35" s="4">
        <v>0</v>
      </c>
      <c r="CV35" s="4" t="s">
        <v>298</v>
      </c>
      <c r="CW35" s="4" t="s">
        <v>299</v>
      </c>
      <c r="CX35" s="4" t="s">
        <v>321</v>
      </c>
      <c r="CZ35" s="6">
        <f>1095150</f>
        <v>1095150</v>
      </c>
      <c r="DA35" s="6">
        <f>0</f>
        <v>0</v>
      </c>
      <c r="DC35" s="4" t="s">
        <v>241</v>
      </c>
      <c r="DD35" s="4" t="s">
        <v>241</v>
      </c>
      <c r="DF35" s="4" t="s">
        <v>241</v>
      </c>
      <c r="DI35" s="4" t="s">
        <v>241</v>
      </c>
      <c r="DJ35" s="4" t="s">
        <v>241</v>
      </c>
      <c r="DK35" s="4" t="s">
        <v>241</v>
      </c>
      <c r="DL35" s="4" t="s">
        <v>241</v>
      </c>
      <c r="DM35" s="4" t="s">
        <v>268</v>
      </c>
      <c r="DN35" s="4" t="s">
        <v>269</v>
      </c>
      <c r="DO35" s="6">
        <f>7.45</f>
        <v>7.45</v>
      </c>
      <c r="DP35" s="4" t="s">
        <v>241</v>
      </c>
      <c r="DQ35" s="4" t="s">
        <v>241</v>
      </c>
      <c r="DR35" s="4" t="s">
        <v>241</v>
      </c>
      <c r="DS35" s="4" t="s">
        <v>241</v>
      </c>
      <c r="DV35" s="4" t="s">
        <v>461</v>
      </c>
      <c r="DW35" s="4" t="s">
        <v>268</v>
      </c>
      <c r="HO35" s="4" t="s">
        <v>268</v>
      </c>
      <c r="HR35" s="4" t="s">
        <v>269</v>
      </c>
      <c r="HS35" s="4" t="s">
        <v>269</v>
      </c>
    </row>
    <row r="36" spans="1:240" x14ac:dyDescent="0.4">
      <c r="A36" s="4">
        <v>2</v>
      </c>
      <c r="B36" s="4" t="s">
        <v>239</v>
      </c>
      <c r="C36" s="4">
        <v>1113</v>
      </c>
      <c r="D36" s="4">
        <v>1</v>
      </c>
      <c r="E36" s="4">
        <v>3</v>
      </c>
      <c r="F36" s="4" t="s">
        <v>240</v>
      </c>
      <c r="G36" s="4" t="s">
        <v>241</v>
      </c>
      <c r="H36" s="4" t="s">
        <v>241</v>
      </c>
      <c r="I36" s="4" t="s">
        <v>326</v>
      </c>
      <c r="J36" s="4" t="s">
        <v>317</v>
      </c>
      <c r="K36" s="4" t="s">
        <v>249</v>
      </c>
      <c r="L36" s="4" t="s">
        <v>308</v>
      </c>
      <c r="M36" s="5" t="s">
        <v>328</v>
      </c>
      <c r="N36" s="4" t="s">
        <v>308</v>
      </c>
      <c r="O36" s="6">
        <f>1.8</f>
        <v>1.8</v>
      </c>
      <c r="P36" s="4" t="s">
        <v>267</v>
      </c>
      <c r="Q36" s="6">
        <f>880548</f>
        <v>880548</v>
      </c>
      <c r="R36" s="6">
        <f>1177200</f>
        <v>1177200</v>
      </c>
      <c r="S36" s="5" t="s">
        <v>327</v>
      </c>
      <c r="T36" s="4" t="s">
        <v>265</v>
      </c>
      <c r="U36" s="4" t="s">
        <v>330</v>
      </c>
      <c r="V36" s="6">
        <f>49442</f>
        <v>49442</v>
      </c>
      <c r="W36" s="6">
        <f>296652</f>
        <v>296652</v>
      </c>
      <c r="X36" s="4" t="s">
        <v>292</v>
      </c>
      <c r="Y36" s="4" t="s">
        <v>242</v>
      </c>
      <c r="Z36" s="4" t="s">
        <v>306</v>
      </c>
      <c r="AA36" s="4" t="s">
        <v>241</v>
      </c>
      <c r="AD36" s="4" t="s">
        <v>241</v>
      </c>
      <c r="AE36" s="5" t="s">
        <v>241</v>
      </c>
      <c r="AF36" s="5" t="s">
        <v>241</v>
      </c>
      <c r="AH36" s="5" t="s">
        <v>241</v>
      </c>
      <c r="AI36" s="5" t="s">
        <v>244</v>
      </c>
      <c r="AJ36" s="4" t="s">
        <v>245</v>
      </c>
      <c r="AK36" s="4" t="s">
        <v>246</v>
      </c>
      <c r="AQ36" s="4" t="s">
        <v>241</v>
      </c>
      <c r="AR36" s="4" t="s">
        <v>241</v>
      </c>
      <c r="AS36" s="4" t="s">
        <v>241</v>
      </c>
      <c r="AT36" s="5" t="s">
        <v>241</v>
      </c>
      <c r="AU36" s="5" t="s">
        <v>241</v>
      </c>
      <c r="AV36" s="5" t="s">
        <v>241</v>
      </c>
      <c r="AY36" s="4" t="s">
        <v>271</v>
      </c>
      <c r="AZ36" s="4" t="s">
        <v>271</v>
      </c>
      <c r="BA36" s="4" t="s">
        <v>247</v>
      </c>
      <c r="BB36" s="4" t="s">
        <v>272</v>
      </c>
      <c r="BC36" s="4" t="s">
        <v>248</v>
      </c>
      <c r="BD36" s="4" t="s">
        <v>241</v>
      </c>
      <c r="BE36" s="4" t="s">
        <v>250</v>
      </c>
      <c r="BF36" s="4" t="s">
        <v>241</v>
      </c>
      <c r="BJ36" s="4" t="s">
        <v>273</v>
      </c>
      <c r="BK36" s="5" t="s">
        <v>274</v>
      </c>
      <c r="BL36" s="4" t="s">
        <v>275</v>
      </c>
      <c r="BM36" s="4" t="s">
        <v>275</v>
      </c>
      <c r="BN36" s="4" t="s">
        <v>241</v>
      </c>
      <c r="BO36" s="6">
        <f>0</f>
        <v>0</v>
      </c>
      <c r="BP36" s="6">
        <f>-49442</f>
        <v>-49442</v>
      </c>
      <c r="BQ36" s="4" t="s">
        <v>255</v>
      </c>
      <c r="BR36" s="4" t="s">
        <v>256</v>
      </c>
      <c r="BS36" s="4" t="s">
        <v>241</v>
      </c>
      <c r="BT36" s="4" t="s">
        <v>241</v>
      </c>
      <c r="BU36" s="4" t="s">
        <v>241</v>
      </c>
      <c r="BV36" s="4" t="s">
        <v>241</v>
      </c>
      <c r="CE36" s="4" t="s">
        <v>256</v>
      </c>
      <c r="CF36" s="4" t="s">
        <v>241</v>
      </c>
      <c r="CG36" s="4" t="s">
        <v>241</v>
      </c>
      <c r="CK36" s="4" t="s">
        <v>276</v>
      </c>
      <c r="CL36" s="4" t="s">
        <v>258</v>
      </c>
      <c r="CM36" s="4" t="s">
        <v>241</v>
      </c>
      <c r="CO36" s="4" t="s">
        <v>329</v>
      </c>
      <c r="CP36" s="5" t="s">
        <v>260</v>
      </c>
      <c r="CQ36" s="4" t="s">
        <v>261</v>
      </c>
      <c r="CR36" s="4" t="s">
        <v>262</v>
      </c>
      <c r="CS36" s="4" t="s">
        <v>278</v>
      </c>
      <c r="CT36" s="4" t="s">
        <v>241</v>
      </c>
      <c r="CU36" s="4">
        <v>4.2000000000000003E-2</v>
      </c>
      <c r="CV36" s="4" t="s">
        <v>298</v>
      </c>
      <c r="CW36" s="4" t="s">
        <v>299</v>
      </c>
      <c r="CX36" s="4" t="s">
        <v>264</v>
      </c>
      <c r="CY36" s="6">
        <f>0</f>
        <v>0</v>
      </c>
      <c r="CZ36" s="6">
        <f>1177200</f>
        <v>1177200</v>
      </c>
      <c r="DA36" s="6">
        <f>880548</f>
        <v>880548</v>
      </c>
      <c r="DC36" s="4" t="s">
        <v>241</v>
      </c>
      <c r="DD36" s="4" t="s">
        <v>241</v>
      </c>
      <c r="DF36" s="4" t="s">
        <v>241</v>
      </c>
      <c r="DG36" s="6">
        <f>0</f>
        <v>0</v>
      </c>
      <c r="DI36" s="4" t="s">
        <v>241</v>
      </c>
      <c r="DJ36" s="4" t="s">
        <v>241</v>
      </c>
      <c r="DK36" s="4" t="s">
        <v>241</v>
      </c>
      <c r="DL36" s="4" t="s">
        <v>241</v>
      </c>
      <c r="DM36" s="4" t="s">
        <v>268</v>
      </c>
      <c r="DN36" s="4" t="s">
        <v>269</v>
      </c>
      <c r="DO36" s="6">
        <f>1.8</f>
        <v>1.8</v>
      </c>
      <c r="DP36" s="4" t="s">
        <v>241</v>
      </c>
      <c r="DQ36" s="4" t="s">
        <v>241</v>
      </c>
      <c r="DR36" s="4" t="s">
        <v>241</v>
      </c>
      <c r="DS36" s="4" t="s">
        <v>241</v>
      </c>
      <c r="DV36" s="4" t="s">
        <v>331</v>
      </c>
      <c r="DW36" s="4" t="s">
        <v>268</v>
      </c>
      <c r="GN36" s="4" t="s">
        <v>332</v>
      </c>
      <c r="HO36" s="4" t="s">
        <v>310</v>
      </c>
      <c r="HR36" s="4" t="s">
        <v>269</v>
      </c>
      <c r="HS36" s="4" t="s">
        <v>269</v>
      </c>
      <c r="HT36" s="4" t="s">
        <v>241</v>
      </c>
      <c r="HU36" s="4" t="s">
        <v>241</v>
      </c>
      <c r="HV36" s="4" t="s">
        <v>241</v>
      </c>
      <c r="HW36" s="4" t="s">
        <v>241</v>
      </c>
      <c r="HX36" s="4" t="s">
        <v>241</v>
      </c>
      <c r="HY36" s="4" t="s">
        <v>241</v>
      </c>
      <c r="HZ36" s="4" t="s">
        <v>241</v>
      </c>
      <c r="IA36" s="4" t="s">
        <v>241</v>
      </c>
      <c r="IB36" s="4" t="s">
        <v>241</v>
      </c>
      <c r="IC36" s="4" t="s">
        <v>241</v>
      </c>
      <c r="ID36" s="4" t="s">
        <v>241</v>
      </c>
      <c r="IE36" s="4" t="s">
        <v>241</v>
      </c>
      <c r="IF36" s="4" t="s">
        <v>241</v>
      </c>
    </row>
    <row r="37" spans="1:240" x14ac:dyDescent="0.4">
      <c r="A37" s="4">
        <v>2</v>
      </c>
      <c r="B37" s="4" t="s">
        <v>239</v>
      </c>
      <c r="C37" s="4">
        <v>1114</v>
      </c>
      <c r="D37" s="4">
        <v>1</v>
      </c>
      <c r="E37" s="4">
        <v>1</v>
      </c>
      <c r="F37" s="4" t="s">
        <v>240</v>
      </c>
      <c r="G37" s="4" t="s">
        <v>241</v>
      </c>
      <c r="H37" s="4" t="s">
        <v>241</v>
      </c>
      <c r="I37" s="4" t="s">
        <v>462</v>
      </c>
      <c r="J37" s="4" t="s">
        <v>317</v>
      </c>
      <c r="K37" s="4" t="s">
        <v>249</v>
      </c>
      <c r="L37" s="4" t="s">
        <v>464</v>
      </c>
      <c r="M37" s="5" t="s">
        <v>465</v>
      </c>
      <c r="N37" s="4" t="s">
        <v>308</v>
      </c>
      <c r="O37" s="6">
        <f>8.28</f>
        <v>8.2799999999999994</v>
      </c>
      <c r="P37" s="4" t="s">
        <v>267</v>
      </c>
      <c r="Q37" s="6">
        <f>1</f>
        <v>1</v>
      </c>
      <c r="R37" s="6">
        <f>2955960</f>
        <v>2955960</v>
      </c>
      <c r="S37" s="5" t="s">
        <v>463</v>
      </c>
      <c r="T37" s="4" t="s">
        <v>322</v>
      </c>
      <c r="U37" s="4" t="s">
        <v>438</v>
      </c>
      <c r="W37" s="6">
        <f>2955959</f>
        <v>2955959</v>
      </c>
      <c r="X37" s="4" t="s">
        <v>292</v>
      </c>
      <c r="Y37" s="4" t="s">
        <v>242</v>
      </c>
      <c r="Z37" s="4" t="s">
        <v>306</v>
      </c>
      <c r="AA37" s="4" t="s">
        <v>241</v>
      </c>
      <c r="AD37" s="4" t="s">
        <v>241</v>
      </c>
      <c r="AF37" s="5" t="s">
        <v>241</v>
      </c>
      <c r="AI37" s="5" t="s">
        <v>244</v>
      </c>
      <c r="AJ37" s="4" t="s">
        <v>245</v>
      </c>
      <c r="AK37" s="4" t="s">
        <v>246</v>
      </c>
      <c r="BA37" s="4" t="s">
        <v>247</v>
      </c>
      <c r="BB37" s="4" t="s">
        <v>241</v>
      </c>
      <c r="BC37" s="4" t="s">
        <v>248</v>
      </c>
      <c r="BD37" s="4" t="s">
        <v>241</v>
      </c>
      <c r="BE37" s="4" t="s">
        <v>250</v>
      </c>
      <c r="BF37" s="4" t="s">
        <v>241</v>
      </c>
      <c r="BJ37" s="4" t="s">
        <v>251</v>
      </c>
      <c r="BK37" s="5" t="s">
        <v>252</v>
      </c>
      <c r="BL37" s="4" t="s">
        <v>253</v>
      </c>
      <c r="BM37" s="4" t="s">
        <v>254</v>
      </c>
      <c r="BN37" s="4" t="s">
        <v>241</v>
      </c>
      <c r="BO37" s="6">
        <f>0</f>
        <v>0</v>
      </c>
      <c r="BP37" s="6">
        <f>0</f>
        <v>0</v>
      </c>
      <c r="BQ37" s="4" t="s">
        <v>255</v>
      </c>
      <c r="BR37" s="4" t="s">
        <v>256</v>
      </c>
      <c r="CF37" s="4" t="s">
        <v>241</v>
      </c>
      <c r="CG37" s="4" t="s">
        <v>241</v>
      </c>
      <c r="CK37" s="4" t="s">
        <v>276</v>
      </c>
      <c r="CL37" s="4" t="s">
        <v>258</v>
      </c>
      <c r="CM37" s="4" t="s">
        <v>241</v>
      </c>
      <c r="CO37" s="4" t="s">
        <v>277</v>
      </c>
      <c r="CP37" s="5" t="s">
        <v>260</v>
      </c>
      <c r="CQ37" s="4" t="s">
        <v>261</v>
      </c>
      <c r="CR37" s="4" t="s">
        <v>262</v>
      </c>
      <c r="CS37" s="4" t="s">
        <v>241</v>
      </c>
      <c r="CT37" s="4" t="s">
        <v>241</v>
      </c>
      <c r="CU37" s="4">
        <v>0</v>
      </c>
      <c r="CV37" s="4" t="s">
        <v>298</v>
      </c>
      <c r="CW37" s="4" t="s">
        <v>299</v>
      </c>
      <c r="CX37" s="4" t="s">
        <v>321</v>
      </c>
      <c r="CZ37" s="6">
        <f>2955960</f>
        <v>2955960</v>
      </c>
      <c r="DA37" s="6">
        <f>0</f>
        <v>0</v>
      </c>
      <c r="DC37" s="4" t="s">
        <v>241</v>
      </c>
      <c r="DD37" s="4" t="s">
        <v>241</v>
      </c>
      <c r="DF37" s="4" t="s">
        <v>241</v>
      </c>
      <c r="DI37" s="4" t="s">
        <v>241</v>
      </c>
      <c r="DJ37" s="4" t="s">
        <v>241</v>
      </c>
      <c r="DK37" s="4" t="s">
        <v>241</v>
      </c>
      <c r="DL37" s="4" t="s">
        <v>241</v>
      </c>
      <c r="DM37" s="4" t="s">
        <v>268</v>
      </c>
      <c r="DN37" s="4" t="s">
        <v>269</v>
      </c>
      <c r="DO37" s="6">
        <f>8.28</f>
        <v>8.2799999999999994</v>
      </c>
      <c r="DP37" s="4" t="s">
        <v>241</v>
      </c>
      <c r="DQ37" s="4" t="s">
        <v>241</v>
      </c>
      <c r="DR37" s="4" t="s">
        <v>241</v>
      </c>
      <c r="DS37" s="4" t="s">
        <v>241</v>
      </c>
      <c r="DV37" s="4" t="s">
        <v>466</v>
      </c>
      <c r="DW37" s="4" t="s">
        <v>268</v>
      </c>
      <c r="HO37" s="4" t="s">
        <v>268</v>
      </c>
      <c r="HR37" s="4" t="s">
        <v>269</v>
      </c>
      <c r="HS37" s="4" t="s">
        <v>269</v>
      </c>
    </row>
    <row r="38" spans="1:240" x14ac:dyDescent="0.4">
      <c r="A38" s="4">
        <v>2</v>
      </c>
      <c r="B38" s="4" t="s">
        <v>239</v>
      </c>
      <c r="C38" s="4">
        <v>1115</v>
      </c>
      <c r="D38" s="4">
        <v>1</v>
      </c>
      <c r="E38" s="4">
        <v>1</v>
      </c>
      <c r="F38" s="4" t="s">
        <v>240</v>
      </c>
      <c r="G38" s="4" t="s">
        <v>241</v>
      </c>
      <c r="H38" s="4" t="s">
        <v>241</v>
      </c>
      <c r="I38" s="4" t="s">
        <v>467</v>
      </c>
      <c r="J38" s="4" t="s">
        <v>317</v>
      </c>
      <c r="K38" s="4" t="s">
        <v>249</v>
      </c>
      <c r="L38" s="4" t="s">
        <v>308</v>
      </c>
      <c r="M38" s="5" t="s">
        <v>469</v>
      </c>
      <c r="N38" s="4" t="s">
        <v>308</v>
      </c>
      <c r="O38" s="6">
        <f>8.28</f>
        <v>8.2799999999999994</v>
      </c>
      <c r="P38" s="4" t="s">
        <v>267</v>
      </c>
      <c r="Q38" s="6">
        <f>1</f>
        <v>1</v>
      </c>
      <c r="R38" s="6">
        <f>1217160</f>
        <v>1217160</v>
      </c>
      <c r="S38" s="5" t="s">
        <v>468</v>
      </c>
      <c r="T38" s="4" t="s">
        <v>322</v>
      </c>
      <c r="U38" s="4" t="s">
        <v>302</v>
      </c>
      <c r="W38" s="6">
        <f>1217159</f>
        <v>1217159</v>
      </c>
      <c r="X38" s="4" t="s">
        <v>292</v>
      </c>
      <c r="Y38" s="4" t="s">
        <v>242</v>
      </c>
      <c r="Z38" s="4" t="s">
        <v>306</v>
      </c>
      <c r="AA38" s="4" t="s">
        <v>241</v>
      </c>
      <c r="AD38" s="4" t="s">
        <v>241</v>
      </c>
      <c r="AF38" s="5" t="s">
        <v>241</v>
      </c>
      <c r="AI38" s="5" t="s">
        <v>244</v>
      </c>
      <c r="AJ38" s="4" t="s">
        <v>245</v>
      </c>
      <c r="AK38" s="4" t="s">
        <v>246</v>
      </c>
      <c r="BA38" s="4" t="s">
        <v>247</v>
      </c>
      <c r="BB38" s="4" t="s">
        <v>241</v>
      </c>
      <c r="BC38" s="4" t="s">
        <v>248</v>
      </c>
      <c r="BD38" s="4" t="s">
        <v>241</v>
      </c>
      <c r="BE38" s="4" t="s">
        <v>250</v>
      </c>
      <c r="BF38" s="4" t="s">
        <v>241</v>
      </c>
      <c r="BJ38" s="4" t="s">
        <v>399</v>
      </c>
      <c r="BK38" s="5" t="s">
        <v>244</v>
      </c>
      <c r="BL38" s="4" t="s">
        <v>253</v>
      </c>
      <c r="BM38" s="4" t="s">
        <v>254</v>
      </c>
      <c r="BN38" s="4" t="s">
        <v>241</v>
      </c>
      <c r="BO38" s="6">
        <f>0</f>
        <v>0</v>
      </c>
      <c r="BP38" s="6">
        <f>0</f>
        <v>0</v>
      </c>
      <c r="BQ38" s="4" t="s">
        <v>255</v>
      </c>
      <c r="BR38" s="4" t="s">
        <v>256</v>
      </c>
      <c r="CF38" s="4" t="s">
        <v>241</v>
      </c>
      <c r="CG38" s="4" t="s">
        <v>241</v>
      </c>
      <c r="CK38" s="4" t="s">
        <v>276</v>
      </c>
      <c r="CL38" s="4" t="s">
        <v>258</v>
      </c>
      <c r="CM38" s="4" t="s">
        <v>241</v>
      </c>
      <c r="CO38" s="4" t="s">
        <v>470</v>
      </c>
      <c r="CP38" s="5" t="s">
        <v>260</v>
      </c>
      <c r="CQ38" s="4" t="s">
        <v>261</v>
      </c>
      <c r="CR38" s="4" t="s">
        <v>262</v>
      </c>
      <c r="CS38" s="4" t="s">
        <v>241</v>
      </c>
      <c r="CT38" s="4" t="s">
        <v>241</v>
      </c>
      <c r="CU38" s="4">
        <v>0</v>
      </c>
      <c r="CV38" s="4" t="s">
        <v>298</v>
      </c>
      <c r="CW38" s="4" t="s">
        <v>299</v>
      </c>
      <c r="CX38" s="4" t="s">
        <v>321</v>
      </c>
      <c r="CZ38" s="6">
        <f>1217160</f>
        <v>1217160</v>
      </c>
      <c r="DA38" s="6">
        <f>0</f>
        <v>0</v>
      </c>
      <c r="DC38" s="4" t="s">
        <v>241</v>
      </c>
      <c r="DD38" s="4" t="s">
        <v>241</v>
      </c>
      <c r="DF38" s="4" t="s">
        <v>241</v>
      </c>
      <c r="DI38" s="4" t="s">
        <v>241</v>
      </c>
      <c r="DJ38" s="4" t="s">
        <v>241</v>
      </c>
      <c r="DK38" s="4" t="s">
        <v>241</v>
      </c>
      <c r="DL38" s="4" t="s">
        <v>241</v>
      </c>
      <c r="DM38" s="4" t="s">
        <v>268</v>
      </c>
      <c r="DN38" s="4" t="s">
        <v>269</v>
      </c>
      <c r="DO38" s="6">
        <f>8.28</f>
        <v>8.2799999999999994</v>
      </c>
      <c r="DP38" s="4" t="s">
        <v>241</v>
      </c>
      <c r="DQ38" s="4" t="s">
        <v>241</v>
      </c>
      <c r="DR38" s="4" t="s">
        <v>241</v>
      </c>
      <c r="DS38" s="4" t="s">
        <v>241</v>
      </c>
      <c r="DV38" s="4" t="s">
        <v>471</v>
      </c>
      <c r="DW38" s="4" t="s">
        <v>268</v>
      </c>
      <c r="HO38" s="4" t="s">
        <v>268</v>
      </c>
      <c r="HR38" s="4" t="s">
        <v>269</v>
      </c>
      <c r="HS38" s="4" t="s">
        <v>269</v>
      </c>
    </row>
    <row r="39" spans="1:240" x14ac:dyDescent="0.4">
      <c r="A39" s="4">
        <v>2</v>
      </c>
      <c r="B39" s="4" t="s">
        <v>239</v>
      </c>
      <c r="C39" s="4">
        <v>1116</v>
      </c>
      <c r="D39" s="4">
        <v>1</v>
      </c>
      <c r="E39" s="4">
        <v>1</v>
      </c>
      <c r="F39" s="4" t="s">
        <v>240</v>
      </c>
      <c r="G39" s="4" t="s">
        <v>241</v>
      </c>
      <c r="H39" s="4" t="s">
        <v>241</v>
      </c>
      <c r="I39" s="4" t="s">
        <v>472</v>
      </c>
      <c r="J39" s="4" t="s">
        <v>317</v>
      </c>
      <c r="K39" s="4" t="s">
        <v>249</v>
      </c>
      <c r="L39" s="4" t="s">
        <v>308</v>
      </c>
      <c r="M39" s="5" t="s">
        <v>473</v>
      </c>
      <c r="N39" s="4" t="s">
        <v>308</v>
      </c>
      <c r="O39" s="6">
        <f>21.53</f>
        <v>21.53</v>
      </c>
      <c r="P39" s="4" t="s">
        <v>267</v>
      </c>
      <c r="Q39" s="6">
        <f>1</f>
        <v>1</v>
      </c>
      <c r="R39" s="6">
        <f>2045350</f>
        <v>2045350</v>
      </c>
      <c r="S39" s="5" t="s">
        <v>404</v>
      </c>
      <c r="T39" s="4" t="s">
        <v>322</v>
      </c>
      <c r="U39" s="4" t="s">
        <v>408</v>
      </c>
      <c r="W39" s="6">
        <f>2045349</f>
        <v>2045349</v>
      </c>
      <c r="X39" s="4" t="s">
        <v>292</v>
      </c>
      <c r="Y39" s="4" t="s">
        <v>242</v>
      </c>
      <c r="Z39" s="4" t="s">
        <v>306</v>
      </c>
      <c r="AA39" s="4" t="s">
        <v>241</v>
      </c>
      <c r="AD39" s="4" t="s">
        <v>241</v>
      </c>
      <c r="AF39" s="5" t="s">
        <v>241</v>
      </c>
      <c r="AI39" s="5" t="s">
        <v>244</v>
      </c>
      <c r="AJ39" s="4" t="s">
        <v>245</v>
      </c>
      <c r="AK39" s="4" t="s">
        <v>246</v>
      </c>
      <c r="BA39" s="4" t="s">
        <v>247</v>
      </c>
      <c r="BB39" s="4" t="s">
        <v>241</v>
      </c>
      <c r="BC39" s="4" t="s">
        <v>248</v>
      </c>
      <c r="BD39" s="4" t="s">
        <v>241</v>
      </c>
      <c r="BE39" s="4" t="s">
        <v>250</v>
      </c>
      <c r="BF39" s="4" t="s">
        <v>241</v>
      </c>
      <c r="BJ39" s="4" t="s">
        <v>427</v>
      </c>
      <c r="BK39" s="5" t="s">
        <v>428</v>
      </c>
      <c r="BL39" s="4" t="s">
        <v>253</v>
      </c>
      <c r="BM39" s="4" t="s">
        <v>254</v>
      </c>
      <c r="BN39" s="4" t="s">
        <v>241</v>
      </c>
      <c r="BO39" s="6">
        <f>0</f>
        <v>0</v>
      </c>
      <c r="BP39" s="6">
        <f>0</f>
        <v>0</v>
      </c>
      <c r="BQ39" s="4" t="s">
        <v>255</v>
      </c>
      <c r="BR39" s="4" t="s">
        <v>256</v>
      </c>
      <c r="CF39" s="4" t="s">
        <v>241</v>
      </c>
      <c r="CG39" s="4" t="s">
        <v>241</v>
      </c>
      <c r="CK39" s="4" t="s">
        <v>276</v>
      </c>
      <c r="CL39" s="4" t="s">
        <v>258</v>
      </c>
      <c r="CM39" s="4" t="s">
        <v>241</v>
      </c>
      <c r="CO39" s="4" t="s">
        <v>362</v>
      </c>
      <c r="CP39" s="5" t="s">
        <v>260</v>
      </c>
      <c r="CQ39" s="4" t="s">
        <v>261</v>
      </c>
      <c r="CR39" s="4" t="s">
        <v>262</v>
      </c>
      <c r="CS39" s="4" t="s">
        <v>241</v>
      </c>
      <c r="CT39" s="4" t="s">
        <v>241</v>
      </c>
      <c r="CU39" s="4">
        <v>0</v>
      </c>
      <c r="CV39" s="4" t="s">
        <v>298</v>
      </c>
      <c r="CW39" s="4" t="s">
        <v>299</v>
      </c>
      <c r="CX39" s="4" t="s">
        <v>321</v>
      </c>
      <c r="CZ39" s="6">
        <f>2045350</f>
        <v>2045350</v>
      </c>
      <c r="DA39" s="6">
        <f>0</f>
        <v>0</v>
      </c>
      <c r="DC39" s="4" t="s">
        <v>241</v>
      </c>
      <c r="DD39" s="4" t="s">
        <v>241</v>
      </c>
      <c r="DF39" s="4" t="s">
        <v>241</v>
      </c>
      <c r="DI39" s="4" t="s">
        <v>241</v>
      </c>
      <c r="DJ39" s="4" t="s">
        <v>241</v>
      </c>
      <c r="DK39" s="4" t="s">
        <v>241</v>
      </c>
      <c r="DL39" s="4" t="s">
        <v>241</v>
      </c>
      <c r="DM39" s="4" t="s">
        <v>268</v>
      </c>
      <c r="DN39" s="4" t="s">
        <v>269</v>
      </c>
      <c r="DO39" s="6">
        <f>21.53</f>
        <v>21.53</v>
      </c>
      <c r="DP39" s="4" t="s">
        <v>241</v>
      </c>
      <c r="DQ39" s="4" t="s">
        <v>241</v>
      </c>
      <c r="DR39" s="4" t="s">
        <v>241</v>
      </c>
      <c r="DS39" s="4" t="s">
        <v>241</v>
      </c>
      <c r="DV39" s="4" t="s">
        <v>474</v>
      </c>
      <c r="DW39" s="4" t="s">
        <v>268</v>
      </c>
      <c r="HO39" s="4" t="s">
        <v>268</v>
      </c>
      <c r="HR39" s="4" t="s">
        <v>269</v>
      </c>
      <c r="HS39" s="4" t="s">
        <v>269</v>
      </c>
    </row>
    <row r="40" spans="1:240" x14ac:dyDescent="0.4">
      <c r="A40" s="4">
        <v>2</v>
      </c>
      <c r="B40" s="4" t="s">
        <v>239</v>
      </c>
      <c r="C40" s="4">
        <v>1117</v>
      </c>
      <c r="D40" s="4">
        <v>1</v>
      </c>
      <c r="E40" s="4">
        <v>3</v>
      </c>
      <c r="F40" s="4" t="s">
        <v>240</v>
      </c>
      <c r="G40" s="4" t="s">
        <v>241</v>
      </c>
      <c r="H40" s="4" t="s">
        <v>241</v>
      </c>
      <c r="I40" s="4" t="s">
        <v>316</v>
      </c>
      <c r="J40" s="4" t="s">
        <v>317</v>
      </c>
      <c r="K40" s="4" t="s">
        <v>249</v>
      </c>
      <c r="L40" s="4" t="s">
        <v>308</v>
      </c>
      <c r="M40" s="5" t="s">
        <v>319</v>
      </c>
      <c r="N40" s="4" t="s">
        <v>308</v>
      </c>
      <c r="O40" s="6">
        <f>6.14</f>
        <v>6.14</v>
      </c>
      <c r="P40" s="4" t="s">
        <v>267</v>
      </c>
      <c r="Q40" s="6">
        <f>1</f>
        <v>1</v>
      </c>
      <c r="R40" s="6">
        <f>902580</f>
        <v>902580</v>
      </c>
      <c r="S40" s="5" t="s">
        <v>318</v>
      </c>
      <c r="T40" s="4" t="s">
        <v>322</v>
      </c>
      <c r="U40" s="4" t="s">
        <v>323</v>
      </c>
      <c r="V40" s="6">
        <f>55971</f>
        <v>55971</v>
      </c>
      <c r="W40" s="6">
        <f>902579</f>
        <v>902579</v>
      </c>
      <c r="X40" s="4" t="s">
        <v>292</v>
      </c>
      <c r="Y40" s="4" t="s">
        <v>242</v>
      </c>
      <c r="Z40" s="4" t="s">
        <v>306</v>
      </c>
      <c r="AA40" s="4" t="s">
        <v>241</v>
      </c>
      <c r="AD40" s="4" t="s">
        <v>241</v>
      </c>
      <c r="AE40" s="5" t="s">
        <v>241</v>
      </c>
      <c r="AF40" s="5" t="s">
        <v>241</v>
      </c>
      <c r="AH40" s="5" t="s">
        <v>241</v>
      </c>
      <c r="AI40" s="5" t="s">
        <v>244</v>
      </c>
      <c r="AJ40" s="4" t="s">
        <v>245</v>
      </c>
      <c r="AK40" s="4" t="s">
        <v>246</v>
      </c>
      <c r="AQ40" s="4" t="s">
        <v>241</v>
      </c>
      <c r="AR40" s="4" t="s">
        <v>241</v>
      </c>
      <c r="AS40" s="4" t="s">
        <v>241</v>
      </c>
      <c r="AT40" s="5" t="s">
        <v>241</v>
      </c>
      <c r="AU40" s="5" t="s">
        <v>241</v>
      </c>
      <c r="AV40" s="5" t="s">
        <v>241</v>
      </c>
      <c r="AY40" s="4" t="s">
        <v>271</v>
      </c>
      <c r="AZ40" s="4" t="s">
        <v>271</v>
      </c>
      <c r="BA40" s="4" t="s">
        <v>247</v>
      </c>
      <c r="BB40" s="4" t="s">
        <v>272</v>
      </c>
      <c r="BC40" s="4" t="s">
        <v>248</v>
      </c>
      <c r="BD40" s="4" t="s">
        <v>241</v>
      </c>
      <c r="BE40" s="4" t="s">
        <v>250</v>
      </c>
      <c r="BF40" s="4" t="s">
        <v>241</v>
      </c>
      <c r="BJ40" s="4" t="s">
        <v>273</v>
      </c>
      <c r="BK40" s="5" t="s">
        <v>274</v>
      </c>
      <c r="BL40" s="4" t="s">
        <v>275</v>
      </c>
      <c r="BM40" s="4" t="s">
        <v>275</v>
      </c>
      <c r="BN40" s="4" t="s">
        <v>241</v>
      </c>
      <c r="BO40" s="6">
        <f>0</f>
        <v>0</v>
      </c>
      <c r="BP40" s="6">
        <f>-55971</f>
        <v>-55971</v>
      </c>
      <c r="BQ40" s="4" t="s">
        <v>255</v>
      </c>
      <c r="BR40" s="4" t="s">
        <v>256</v>
      </c>
      <c r="BS40" s="4" t="s">
        <v>241</v>
      </c>
      <c r="BT40" s="4" t="s">
        <v>241</v>
      </c>
      <c r="BU40" s="4" t="s">
        <v>241</v>
      </c>
      <c r="BV40" s="4" t="s">
        <v>241</v>
      </c>
      <c r="CE40" s="4" t="s">
        <v>256</v>
      </c>
      <c r="CF40" s="4" t="s">
        <v>241</v>
      </c>
      <c r="CG40" s="4" t="s">
        <v>241</v>
      </c>
      <c r="CK40" s="4" t="s">
        <v>276</v>
      </c>
      <c r="CL40" s="4" t="s">
        <v>258</v>
      </c>
      <c r="CM40" s="4" t="s">
        <v>241</v>
      </c>
      <c r="CO40" s="4" t="s">
        <v>320</v>
      </c>
      <c r="CP40" s="5" t="s">
        <v>260</v>
      </c>
      <c r="CQ40" s="4" t="s">
        <v>261</v>
      </c>
      <c r="CR40" s="4" t="s">
        <v>262</v>
      </c>
      <c r="CS40" s="4" t="s">
        <v>278</v>
      </c>
      <c r="CT40" s="4" t="s">
        <v>241</v>
      </c>
      <c r="CU40" s="4">
        <v>6.7000000000000004E-2</v>
      </c>
      <c r="CV40" s="4" t="s">
        <v>298</v>
      </c>
      <c r="CW40" s="4" t="s">
        <v>299</v>
      </c>
      <c r="CX40" s="4" t="s">
        <v>321</v>
      </c>
      <c r="CY40" s="6">
        <f>0</f>
        <v>0</v>
      </c>
      <c r="CZ40" s="6">
        <f>902580</f>
        <v>902580</v>
      </c>
      <c r="DA40" s="6">
        <f>1</f>
        <v>1</v>
      </c>
      <c r="DC40" s="4" t="s">
        <v>241</v>
      </c>
      <c r="DD40" s="4" t="s">
        <v>241</v>
      </c>
      <c r="DF40" s="4" t="s">
        <v>241</v>
      </c>
      <c r="DG40" s="6">
        <f>0</f>
        <v>0</v>
      </c>
      <c r="DI40" s="4" t="s">
        <v>241</v>
      </c>
      <c r="DJ40" s="4" t="s">
        <v>241</v>
      </c>
      <c r="DK40" s="4" t="s">
        <v>241</v>
      </c>
      <c r="DL40" s="4" t="s">
        <v>241</v>
      </c>
      <c r="DM40" s="4" t="s">
        <v>268</v>
      </c>
      <c r="DN40" s="4" t="s">
        <v>269</v>
      </c>
      <c r="DO40" s="6">
        <f>6.14</f>
        <v>6.14</v>
      </c>
      <c r="DP40" s="4" t="s">
        <v>241</v>
      </c>
      <c r="DQ40" s="4" t="s">
        <v>241</v>
      </c>
      <c r="DR40" s="4" t="s">
        <v>241</v>
      </c>
      <c r="DS40" s="4" t="s">
        <v>241</v>
      </c>
      <c r="DV40" s="4" t="s">
        <v>324</v>
      </c>
      <c r="DW40" s="4" t="s">
        <v>268</v>
      </c>
      <c r="GN40" s="4" t="s">
        <v>325</v>
      </c>
      <c r="HO40" s="4" t="s">
        <v>310</v>
      </c>
      <c r="HR40" s="4" t="s">
        <v>269</v>
      </c>
      <c r="HS40" s="4" t="s">
        <v>269</v>
      </c>
      <c r="HT40" s="4" t="s">
        <v>241</v>
      </c>
      <c r="HU40" s="4" t="s">
        <v>241</v>
      </c>
      <c r="HV40" s="4" t="s">
        <v>241</v>
      </c>
      <c r="HW40" s="4" t="s">
        <v>241</v>
      </c>
      <c r="HX40" s="4" t="s">
        <v>241</v>
      </c>
      <c r="HY40" s="4" t="s">
        <v>241</v>
      </c>
      <c r="HZ40" s="4" t="s">
        <v>241</v>
      </c>
      <c r="IA40" s="4" t="s">
        <v>241</v>
      </c>
      <c r="IB40" s="4" t="s">
        <v>241</v>
      </c>
      <c r="IC40" s="4" t="s">
        <v>241</v>
      </c>
      <c r="ID40" s="4" t="s">
        <v>241</v>
      </c>
      <c r="IE40" s="4" t="s">
        <v>241</v>
      </c>
      <c r="IF40" s="4" t="s">
        <v>241</v>
      </c>
    </row>
    <row r="41" spans="1:240" x14ac:dyDescent="0.4">
      <c r="A41" s="4">
        <v>2</v>
      </c>
      <c r="B41" s="4" t="s">
        <v>239</v>
      </c>
      <c r="C41" s="4">
        <v>1118</v>
      </c>
      <c r="D41" s="4">
        <v>1</v>
      </c>
      <c r="E41" s="4">
        <v>1</v>
      </c>
      <c r="F41" s="4" t="s">
        <v>240</v>
      </c>
      <c r="G41" s="4" t="s">
        <v>241</v>
      </c>
      <c r="H41" s="4" t="s">
        <v>241</v>
      </c>
      <c r="I41" s="4" t="s">
        <v>475</v>
      </c>
      <c r="J41" s="4" t="s">
        <v>317</v>
      </c>
      <c r="K41" s="4" t="s">
        <v>249</v>
      </c>
      <c r="L41" s="4" t="s">
        <v>308</v>
      </c>
      <c r="M41" s="5" t="s">
        <v>476</v>
      </c>
      <c r="N41" s="4" t="s">
        <v>308</v>
      </c>
      <c r="O41" s="6">
        <f t="shared" ref="O41:O47" si="0">6.2</f>
        <v>6.2</v>
      </c>
      <c r="P41" s="4" t="s">
        <v>267</v>
      </c>
      <c r="Q41" s="6">
        <f>1</f>
        <v>1</v>
      </c>
      <c r="R41" s="6">
        <f t="shared" ref="R41:R47" si="1">589000</f>
        <v>589000</v>
      </c>
      <c r="S41" s="5" t="s">
        <v>243</v>
      </c>
      <c r="T41" s="4" t="s">
        <v>322</v>
      </c>
      <c r="U41" s="4" t="s">
        <v>266</v>
      </c>
      <c r="W41" s="6">
        <f t="shared" ref="W41:W47" si="2">588999</f>
        <v>588999</v>
      </c>
      <c r="X41" s="4" t="s">
        <v>292</v>
      </c>
      <c r="Y41" s="4" t="s">
        <v>242</v>
      </c>
      <c r="Z41" s="4" t="s">
        <v>306</v>
      </c>
      <c r="AA41" s="4" t="s">
        <v>241</v>
      </c>
      <c r="AD41" s="4" t="s">
        <v>241</v>
      </c>
      <c r="AF41" s="5" t="s">
        <v>241</v>
      </c>
      <c r="AI41" s="5" t="s">
        <v>244</v>
      </c>
      <c r="AJ41" s="4" t="s">
        <v>245</v>
      </c>
      <c r="AK41" s="4" t="s">
        <v>246</v>
      </c>
      <c r="BA41" s="4" t="s">
        <v>247</v>
      </c>
      <c r="BB41" s="4" t="s">
        <v>241</v>
      </c>
      <c r="BC41" s="4" t="s">
        <v>248</v>
      </c>
      <c r="BD41" s="4" t="s">
        <v>241</v>
      </c>
      <c r="BE41" s="4" t="s">
        <v>250</v>
      </c>
      <c r="BF41" s="4" t="s">
        <v>241</v>
      </c>
      <c r="BJ41" s="4" t="s">
        <v>251</v>
      </c>
      <c r="BK41" s="5" t="s">
        <v>252</v>
      </c>
      <c r="BL41" s="4" t="s">
        <v>253</v>
      </c>
      <c r="BM41" s="4" t="s">
        <v>254</v>
      </c>
      <c r="BN41" s="4" t="s">
        <v>241</v>
      </c>
      <c r="BO41" s="6">
        <f>0</f>
        <v>0</v>
      </c>
      <c r="BP41" s="6">
        <f>0</f>
        <v>0</v>
      </c>
      <c r="BQ41" s="4" t="s">
        <v>255</v>
      </c>
      <c r="BR41" s="4" t="s">
        <v>256</v>
      </c>
      <c r="CF41" s="4" t="s">
        <v>241</v>
      </c>
      <c r="CG41" s="4" t="s">
        <v>241</v>
      </c>
      <c r="CK41" s="4" t="s">
        <v>257</v>
      </c>
      <c r="CL41" s="4" t="s">
        <v>258</v>
      </c>
      <c r="CM41" s="4" t="s">
        <v>241</v>
      </c>
      <c r="CO41" s="4" t="s">
        <v>259</v>
      </c>
      <c r="CP41" s="5" t="s">
        <v>260</v>
      </c>
      <c r="CQ41" s="4" t="s">
        <v>261</v>
      </c>
      <c r="CR41" s="4" t="s">
        <v>262</v>
      </c>
      <c r="CS41" s="4" t="s">
        <v>241</v>
      </c>
      <c r="CT41" s="4" t="s">
        <v>241</v>
      </c>
      <c r="CU41" s="4">
        <v>0</v>
      </c>
      <c r="CV41" s="4" t="s">
        <v>298</v>
      </c>
      <c r="CW41" s="4" t="s">
        <v>299</v>
      </c>
      <c r="CX41" s="4" t="s">
        <v>321</v>
      </c>
      <c r="CZ41" s="6">
        <f t="shared" ref="CZ41:CZ47" si="3">589000</f>
        <v>589000</v>
      </c>
      <c r="DA41" s="6">
        <f>0</f>
        <v>0</v>
      </c>
      <c r="DC41" s="4" t="s">
        <v>241</v>
      </c>
      <c r="DD41" s="4" t="s">
        <v>241</v>
      </c>
      <c r="DF41" s="4" t="s">
        <v>241</v>
      </c>
      <c r="DI41" s="4" t="s">
        <v>241</v>
      </c>
      <c r="DJ41" s="4" t="s">
        <v>241</v>
      </c>
      <c r="DK41" s="4" t="s">
        <v>241</v>
      </c>
      <c r="DL41" s="4" t="s">
        <v>241</v>
      </c>
      <c r="DM41" s="4" t="s">
        <v>268</v>
      </c>
      <c r="DN41" s="4" t="s">
        <v>269</v>
      </c>
      <c r="DO41" s="6">
        <f t="shared" ref="DO41:DO47" si="4">6.2</f>
        <v>6.2</v>
      </c>
      <c r="DP41" s="4" t="s">
        <v>241</v>
      </c>
      <c r="DQ41" s="4" t="s">
        <v>241</v>
      </c>
      <c r="DR41" s="4" t="s">
        <v>241</v>
      </c>
      <c r="DS41" s="4" t="s">
        <v>241</v>
      </c>
      <c r="DV41" s="4" t="s">
        <v>477</v>
      </c>
      <c r="DW41" s="4" t="s">
        <v>268</v>
      </c>
      <c r="HO41" s="4" t="s">
        <v>268</v>
      </c>
      <c r="HR41" s="4" t="s">
        <v>269</v>
      </c>
      <c r="HS41" s="4" t="s">
        <v>269</v>
      </c>
    </row>
    <row r="42" spans="1:240" x14ac:dyDescent="0.4">
      <c r="A42" s="4">
        <v>2</v>
      </c>
      <c r="B42" s="4" t="s">
        <v>239</v>
      </c>
      <c r="C42" s="4">
        <v>1119</v>
      </c>
      <c r="D42" s="4">
        <v>1</v>
      </c>
      <c r="E42" s="4">
        <v>1</v>
      </c>
      <c r="F42" s="4" t="s">
        <v>240</v>
      </c>
      <c r="G42" s="4" t="s">
        <v>241</v>
      </c>
      <c r="H42" s="4" t="s">
        <v>241</v>
      </c>
      <c r="I42" s="4" t="s">
        <v>478</v>
      </c>
      <c r="J42" s="4" t="s">
        <v>317</v>
      </c>
      <c r="K42" s="4" t="s">
        <v>249</v>
      </c>
      <c r="L42" s="4" t="s">
        <v>308</v>
      </c>
      <c r="M42" s="5" t="s">
        <v>479</v>
      </c>
      <c r="N42" s="4" t="s">
        <v>308</v>
      </c>
      <c r="O42" s="6">
        <f t="shared" si="0"/>
        <v>6.2</v>
      </c>
      <c r="P42" s="4" t="s">
        <v>267</v>
      </c>
      <c r="Q42" s="6">
        <f>1</f>
        <v>1</v>
      </c>
      <c r="R42" s="6">
        <f t="shared" si="1"/>
        <v>589000</v>
      </c>
      <c r="S42" s="5" t="s">
        <v>243</v>
      </c>
      <c r="T42" s="4" t="s">
        <v>322</v>
      </c>
      <c r="U42" s="4" t="s">
        <v>266</v>
      </c>
      <c r="W42" s="6">
        <f t="shared" si="2"/>
        <v>588999</v>
      </c>
      <c r="X42" s="4" t="s">
        <v>292</v>
      </c>
      <c r="Y42" s="4" t="s">
        <v>242</v>
      </c>
      <c r="Z42" s="4" t="s">
        <v>306</v>
      </c>
      <c r="AA42" s="4" t="s">
        <v>241</v>
      </c>
      <c r="AD42" s="4" t="s">
        <v>241</v>
      </c>
      <c r="AF42" s="5" t="s">
        <v>241</v>
      </c>
      <c r="AI42" s="5" t="s">
        <v>244</v>
      </c>
      <c r="AJ42" s="4" t="s">
        <v>245</v>
      </c>
      <c r="AK42" s="4" t="s">
        <v>246</v>
      </c>
      <c r="BA42" s="4" t="s">
        <v>247</v>
      </c>
      <c r="BB42" s="4" t="s">
        <v>241</v>
      </c>
      <c r="BC42" s="4" t="s">
        <v>248</v>
      </c>
      <c r="BD42" s="4" t="s">
        <v>241</v>
      </c>
      <c r="BE42" s="4" t="s">
        <v>250</v>
      </c>
      <c r="BF42" s="4" t="s">
        <v>241</v>
      </c>
      <c r="BJ42" s="4" t="s">
        <v>399</v>
      </c>
      <c r="BK42" s="5" t="s">
        <v>244</v>
      </c>
      <c r="BL42" s="4" t="s">
        <v>253</v>
      </c>
      <c r="BM42" s="4" t="s">
        <v>254</v>
      </c>
      <c r="BN42" s="4" t="s">
        <v>241</v>
      </c>
      <c r="BO42" s="6">
        <f>0</f>
        <v>0</v>
      </c>
      <c r="BP42" s="6">
        <f>0</f>
        <v>0</v>
      </c>
      <c r="BQ42" s="4" t="s">
        <v>255</v>
      </c>
      <c r="BR42" s="4" t="s">
        <v>256</v>
      </c>
      <c r="CF42" s="4" t="s">
        <v>241</v>
      </c>
      <c r="CG42" s="4" t="s">
        <v>241</v>
      </c>
      <c r="CK42" s="4" t="s">
        <v>257</v>
      </c>
      <c r="CL42" s="4" t="s">
        <v>258</v>
      </c>
      <c r="CM42" s="4" t="s">
        <v>241</v>
      </c>
      <c r="CO42" s="4" t="s">
        <v>259</v>
      </c>
      <c r="CP42" s="5" t="s">
        <v>260</v>
      </c>
      <c r="CQ42" s="4" t="s">
        <v>261</v>
      </c>
      <c r="CR42" s="4" t="s">
        <v>262</v>
      </c>
      <c r="CS42" s="4" t="s">
        <v>241</v>
      </c>
      <c r="CT42" s="4" t="s">
        <v>241</v>
      </c>
      <c r="CU42" s="4">
        <v>0</v>
      </c>
      <c r="CV42" s="4" t="s">
        <v>298</v>
      </c>
      <c r="CW42" s="4" t="s">
        <v>299</v>
      </c>
      <c r="CX42" s="4" t="s">
        <v>321</v>
      </c>
      <c r="CZ42" s="6">
        <f t="shared" si="3"/>
        <v>589000</v>
      </c>
      <c r="DA42" s="6">
        <f>0</f>
        <v>0</v>
      </c>
      <c r="DC42" s="4" t="s">
        <v>241</v>
      </c>
      <c r="DD42" s="4" t="s">
        <v>241</v>
      </c>
      <c r="DF42" s="4" t="s">
        <v>241</v>
      </c>
      <c r="DI42" s="4" t="s">
        <v>241</v>
      </c>
      <c r="DJ42" s="4" t="s">
        <v>241</v>
      </c>
      <c r="DK42" s="4" t="s">
        <v>241</v>
      </c>
      <c r="DL42" s="4" t="s">
        <v>241</v>
      </c>
      <c r="DM42" s="4" t="s">
        <v>268</v>
      </c>
      <c r="DN42" s="4" t="s">
        <v>269</v>
      </c>
      <c r="DO42" s="6">
        <f t="shared" si="4"/>
        <v>6.2</v>
      </c>
      <c r="DP42" s="4" t="s">
        <v>241</v>
      </c>
      <c r="DQ42" s="4" t="s">
        <v>241</v>
      </c>
      <c r="DR42" s="4" t="s">
        <v>241</v>
      </c>
      <c r="DS42" s="4" t="s">
        <v>241</v>
      </c>
      <c r="DV42" s="4" t="s">
        <v>480</v>
      </c>
      <c r="DW42" s="4" t="s">
        <v>268</v>
      </c>
      <c r="HO42" s="4" t="s">
        <v>268</v>
      </c>
      <c r="HR42" s="4" t="s">
        <v>269</v>
      </c>
      <c r="HS42" s="4" t="s">
        <v>269</v>
      </c>
    </row>
    <row r="43" spans="1:240" x14ac:dyDescent="0.4">
      <c r="A43" s="4">
        <v>2</v>
      </c>
      <c r="B43" s="4" t="s">
        <v>239</v>
      </c>
      <c r="C43" s="4">
        <v>1120</v>
      </c>
      <c r="D43" s="4">
        <v>1</v>
      </c>
      <c r="E43" s="4">
        <v>1</v>
      </c>
      <c r="F43" s="4" t="s">
        <v>240</v>
      </c>
      <c r="G43" s="4" t="s">
        <v>241</v>
      </c>
      <c r="H43" s="4" t="s">
        <v>241</v>
      </c>
      <c r="I43" s="4" t="s">
        <v>481</v>
      </c>
      <c r="J43" s="4" t="s">
        <v>317</v>
      </c>
      <c r="K43" s="4" t="s">
        <v>249</v>
      </c>
      <c r="L43" s="4" t="s">
        <v>308</v>
      </c>
      <c r="M43" s="5" t="s">
        <v>482</v>
      </c>
      <c r="N43" s="4" t="s">
        <v>308</v>
      </c>
      <c r="O43" s="6">
        <f t="shared" si="0"/>
        <v>6.2</v>
      </c>
      <c r="P43" s="4" t="s">
        <v>267</v>
      </c>
      <c r="Q43" s="6">
        <f>1</f>
        <v>1</v>
      </c>
      <c r="R43" s="6">
        <f t="shared" si="1"/>
        <v>589000</v>
      </c>
      <c r="S43" s="5" t="s">
        <v>243</v>
      </c>
      <c r="T43" s="4" t="s">
        <v>322</v>
      </c>
      <c r="U43" s="4" t="s">
        <v>266</v>
      </c>
      <c r="W43" s="6">
        <f t="shared" si="2"/>
        <v>588999</v>
      </c>
      <c r="X43" s="4" t="s">
        <v>292</v>
      </c>
      <c r="Y43" s="4" t="s">
        <v>242</v>
      </c>
      <c r="Z43" s="4" t="s">
        <v>306</v>
      </c>
      <c r="AA43" s="4" t="s">
        <v>241</v>
      </c>
      <c r="AD43" s="4" t="s">
        <v>241</v>
      </c>
      <c r="AF43" s="5" t="s">
        <v>241</v>
      </c>
      <c r="AI43" s="5" t="s">
        <v>244</v>
      </c>
      <c r="AJ43" s="4" t="s">
        <v>245</v>
      </c>
      <c r="AK43" s="4" t="s">
        <v>246</v>
      </c>
      <c r="BA43" s="4" t="s">
        <v>247</v>
      </c>
      <c r="BB43" s="4" t="s">
        <v>241</v>
      </c>
      <c r="BC43" s="4" t="s">
        <v>248</v>
      </c>
      <c r="BD43" s="4" t="s">
        <v>241</v>
      </c>
      <c r="BE43" s="4" t="s">
        <v>250</v>
      </c>
      <c r="BF43" s="4" t="s">
        <v>241</v>
      </c>
      <c r="BJ43" s="4" t="s">
        <v>399</v>
      </c>
      <c r="BK43" s="5" t="s">
        <v>244</v>
      </c>
      <c r="BL43" s="4" t="s">
        <v>253</v>
      </c>
      <c r="BM43" s="4" t="s">
        <v>254</v>
      </c>
      <c r="BN43" s="4" t="s">
        <v>241</v>
      </c>
      <c r="BO43" s="6">
        <f>0</f>
        <v>0</v>
      </c>
      <c r="BP43" s="6">
        <f>0</f>
        <v>0</v>
      </c>
      <c r="BQ43" s="4" t="s">
        <v>255</v>
      </c>
      <c r="BR43" s="4" t="s">
        <v>256</v>
      </c>
      <c r="CF43" s="4" t="s">
        <v>241</v>
      </c>
      <c r="CG43" s="4" t="s">
        <v>241</v>
      </c>
      <c r="CK43" s="4" t="s">
        <v>257</v>
      </c>
      <c r="CL43" s="4" t="s">
        <v>258</v>
      </c>
      <c r="CM43" s="4" t="s">
        <v>241</v>
      </c>
      <c r="CO43" s="4" t="s">
        <v>259</v>
      </c>
      <c r="CP43" s="5" t="s">
        <v>260</v>
      </c>
      <c r="CQ43" s="4" t="s">
        <v>261</v>
      </c>
      <c r="CR43" s="4" t="s">
        <v>262</v>
      </c>
      <c r="CS43" s="4" t="s">
        <v>241</v>
      </c>
      <c r="CT43" s="4" t="s">
        <v>241</v>
      </c>
      <c r="CU43" s="4">
        <v>0</v>
      </c>
      <c r="CV43" s="4" t="s">
        <v>298</v>
      </c>
      <c r="CW43" s="4" t="s">
        <v>299</v>
      </c>
      <c r="CX43" s="4" t="s">
        <v>321</v>
      </c>
      <c r="CZ43" s="6">
        <f t="shared" si="3"/>
        <v>589000</v>
      </c>
      <c r="DA43" s="6">
        <f>0</f>
        <v>0</v>
      </c>
      <c r="DC43" s="4" t="s">
        <v>241</v>
      </c>
      <c r="DD43" s="4" t="s">
        <v>241</v>
      </c>
      <c r="DF43" s="4" t="s">
        <v>241</v>
      </c>
      <c r="DI43" s="4" t="s">
        <v>241</v>
      </c>
      <c r="DJ43" s="4" t="s">
        <v>241</v>
      </c>
      <c r="DK43" s="4" t="s">
        <v>241</v>
      </c>
      <c r="DL43" s="4" t="s">
        <v>241</v>
      </c>
      <c r="DM43" s="4" t="s">
        <v>268</v>
      </c>
      <c r="DN43" s="4" t="s">
        <v>269</v>
      </c>
      <c r="DO43" s="6">
        <f t="shared" si="4"/>
        <v>6.2</v>
      </c>
      <c r="DP43" s="4" t="s">
        <v>241</v>
      </c>
      <c r="DQ43" s="4" t="s">
        <v>241</v>
      </c>
      <c r="DR43" s="4" t="s">
        <v>241</v>
      </c>
      <c r="DS43" s="4" t="s">
        <v>241</v>
      </c>
      <c r="DV43" s="4" t="s">
        <v>483</v>
      </c>
      <c r="DW43" s="4" t="s">
        <v>268</v>
      </c>
      <c r="HO43" s="4" t="s">
        <v>268</v>
      </c>
      <c r="HR43" s="4" t="s">
        <v>269</v>
      </c>
      <c r="HS43" s="4" t="s">
        <v>269</v>
      </c>
    </row>
    <row r="44" spans="1:240" x14ac:dyDescent="0.4">
      <c r="A44" s="4">
        <v>2</v>
      </c>
      <c r="B44" s="4" t="s">
        <v>239</v>
      </c>
      <c r="C44" s="4">
        <v>1121</v>
      </c>
      <c r="D44" s="4">
        <v>1</v>
      </c>
      <c r="E44" s="4">
        <v>1</v>
      </c>
      <c r="F44" s="4" t="s">
        <v>240</v>
      </c>
      <c r="G44" s="4" t="s">
        <v>241</v>
      </c>
      <c r="H44" s="4" t="s">
        <v>241</v>
      </c>
      <c r="I44" s="4" t="s">
        <v>484</v>
      </c>
      <c r="J44" s="4" t="s">
        <v>317</v>
      </c>
      <c r="K44" s="4" t="s">
        <v>249</v>
      </c>
      <c r="L44" s="4" t="s">
        <v>308</v>
      </c>
      <c r="M44" s="5" t="s">
        <v>486</v>
      </c>
      <c r="N44" s="4" t="s">
        <v>308</v>
      </c>
      <c r="O44" s="6">
        <f t="shared" si="0"/>
        <v>6.2</v>
      </c>
      <c r="P44" s="4" t="s">
        <v>267</v>
      </c>
      <c r="Q44" s="6">
        <f>1</f>
        <v>1</v>
      </c>
      <c r="R44" s="6">
        <f t="shared" si="1"/>
        <v>589000</v>
      </c>
      <c r="S44" s="5" t="s">
        <v>243</v>
      </c>
      <c r="T44" s="4" t="s">
        <v>322</v>
      </c>
      <c r="U44" s="4" t="s">
        <v>266</v>
      </c>
      <c r="W44" s="6">
        <f t="shared" si="2"/>
        <v>588999</v>
      </c>
      <c r="X44" s="4" t="s">
        <v>292</v>
      </c>
      <c r="Y44" s="4" t="s">
        <v>242</v>
      </c>
      <c r="Z44" s="4" t="s">
        <v>306</v>
      </c>
      <c r="AA44" s="4" t="s">
        <v>241</v>
      </c>
      <c r="AD44" s="4" t="s">
        <v>241</v>
      </c>
      <c r="AF44" s="5" t="s">
        <v>241</v>
      </c>
      <c r="AI44" s="5" t="s">
        <v>485</v>
      </c>
      <c r="AJ44" s="4" t="s">
        <v>245</v>
      </c>
      <c r="AK44" s="4" t="s">
        <v>246</v>
      </c>
      <c r="BA44" s="4" t="s">
        <v>247</v>
      </c>
      <c r="BB44" s="4" t="s">
        <v>241</v>
      </c>
      <c r="BC44" s="4" t="s">
        <v>248</v>
      </c>
      <c r="BD44" s="4" t="s">
        <v>241</v>
      </c>
      <c r="BE44" s="4" t="s">
        <v>250</v>
      </c>
      <c r="BF44" s="4" t="s">
        <v>241</v>
      </c>
      <c r="BH44" s="4" t="s">
        <v>340</v>
      </c>
      <c r="BJ44" s="4" t="s">
        <v>433</v>
      </c>
      <c r="BK44" s="5" t="s">
        <v>485</v>
      </c>
      <c r="BL44" s="4" t="s">
        <v>253</v>
      </c>
      <c r="BM44" s="4" t="s">
        <v>254</v>
      </c>
      <c r="BN44" s="4" t="s">
        <v>241</v>
      </c>
      <c r="BO44" s="6">
        <f>0</f>
        <v>0</v>
      </c>
      <c r="BP44" s="6">
        <f>0</f>
        <v>0</v>
      </c>
      <c r="BQ44" s="4" t="s">
        <v>255</v>
      </c>
      <c r="BR44" s="4" t="s">
        <v>256</v>
      </c>
      <c r="CF44" s="4" t="s">
        <v>241</v>
      </c>
      <c r="CG44" s="4" t="s">
        <v>241</v>
      </c>
      <c r="CK44" s="4" t="s">
        <v>257</v>
      </c>
      <c r="CL44" s="4" t="s">
        <v>258</v>
      </c>
      <c r="CM44" s="4" t="s">
        <v>241</v>
      </c>
      <c r="CO44" s="4" t="s">
        <v>259</v>
      </c>
      <c r="CP44" s="5" t="s">
        <v>260</v>
      </c>
      <c r="CQ44" s="4" t="s">
        <v>261</v>
      </c>
      <c r="CR44" s="4" t="s">
        <v>262</v>
      </c>
      <c r="CS44" s="4" t="s">
        <v>241</v>
      </c>
      <c r="CT44" s="4" t="s">
        <v>241</v>
      </c>
      <c r="CU44" s="4">
        <v>0</v>
      </c>
      <c r="CV44" s="4" t="s">
        <v>298</v>
      </c>
      <c r="CW44" s="4" t="s">
        <v>299</v>
      </c>
      <c r="CX44" s="4" t="s">
        <v>321</v>
      </c>
      <c r="CZ44" s="6">
        <f t="shared" si="3"/>
        <v>589000</v>
      </c>
      <c r="DA44" s="6">
        <f>0</f>
        <v>0</v>
      </c>
      <c r="DC44" s="4" t="s">
        <v>241</v>
      </c>
      <c r="DD44" s="4" t="s">
        <v>241</v>
      </c>
      <c r="DF44" s="4" t="s">
        <v>241</v>
      </c>
      <c r="DI44" s="4" t="s">
        <v>241</v>
      </c>
      <c r="DJ44" s="4" t="s">
        <v>241</v>
      </c>
      <c r="DK44" s="4" t="s">
        <v>241</v>
      </c>
      <c r="DL44" s="4" t="s">
        <v>241</v>
      </c>
      <c r="DM44" s="4" t="s">
        <v>268</v>
      </c>
      <c r="DN44" s="4" t="s">
        <v>269</v>
      </c>
      <c r="DO44" s="6">
        <f t="shared" si="4"/>
        <v>6.2</v>
      </c>
      <c r="DP44" s="4" t="s">
        <v>241</v>
      </c>
      <c r="DQ44" s="4" t="s">
        <v>241</v>
      </c>
      <c r="DR44" s="4" t="s">
        <v>241</v>
      </c>
      <c r="DS44" s="4" t="s">
        <v>241</v>
      </c>
      <c r="DV44" s="4" t="s">
        <v>487</v>
      </c>
      <c r="DW44" s="4" t="s">
        <v>268</v>
      </c>
      <c r="HO44" s="4" t="s">
        <v>268</v>
      </c>
      <c r="HR44" s="4" t="s">
        <v>269</v>
      </c>
      <c r="HS44" s="4" t="s">
        <v>269</v>
      </c>
    </row>
    <row r="45" spans="1:240" x14ac:dyDescent="0.4">
      <c r="A45" s="4">
        <v>2</v>
      </c>
      <c r="B45" s="4" t="s">
        <v>239</v>
      </c>
      <c r="C45" s="4">
        <v>1122</v>
      </c>
      <c r="D45" s="4">
        <v>1</v>
      </c>
      <c r="E45" s="4">
        <v>1</v>
      </c>
      <c r="F45" s="4" t="s">
        <v>240</v>
      </c>
      <c r="G45" s="4" t="s">
        <v>241</v>
      </c>
      <c r="H45" s="4" t="s">
        <v>241</v>
      </c>
      <c r="I45" s="4" t="s">
        <v>488</v>
      </c>
      <c r="J45" s="4" t="s">
        <v>317</v>
      </c>
      <c r="K45" s="4" t="s">
        <v>249</v>
      </c>
      <c r="L45" s="4" t="s">
        <v>308</v>
      </c>
      <c r="M45" s="5" t="s">
        <v>489</v>
      </c>
      <c r="N45" s="4" t="s">
        <v>308</v>
      </c>
      <c r="O45" s="6">
        <f t="shared" si="0"/>
        <v>6.2</v>
      </c>
      <c r="P45" s="4" t="s">
        <v>267</v>
      </c>
      <c r="Q45" s="6">
        <f>1</f>
        <v>1</v>
      </c>
      <c r="R45" s="6">
        <f t="shared" si="1"/>
        <v>589000</v>
      </c>
      <c r="S45" s="5" t="s">
        <v>243</v>
      </c>
      <c r="T45" s="4" t="s">
        <v>322</v>
      </c>
      <c r="U45" s="4" t="s">
        <v>266</v>
      </c>
      <c r="W45" s="6">
        <f t="shared" si="2"/>
        <v>588999</v>
      </c>
      <c r="X45" s="4" t="s">
        <v>292</v>
      </c>
      <c r="Y45" s="4" t="s">
        <v>242</v>
      </c>
      <c r="Z45" s="4" t="s">
        <v>306</v>
      </c>
      <c r="AA45" s="4" t="s">
        <v>241</v>
      </c>
      <c r="AD45" s="4" t="s">
        <v>241</v>
      </c>
      <c r="AF45" s="5" t="s">
        <v>241</v>
      </c>
      <c r="AI45" s="5" t="s">
        <v>485</v>
      </c>
      <c r="AJ45" s="4" t="s">
        <v>245</v>
      </c>
      <c r="AK45" s="4" t="s">
        <v>246</v>
      </c>
      <c r="BA45" s="4" t="s">
        <v>247</v>
      </c>
      <c r="BB45" s="4" t="s">
        <v>241</v>
      </c>
      <c r="BC45" s="4" t="s">
        <v>248</v>
      </c>
      <c r="BD45" s="4" t="s">
        <v>241</v>
      </c>
      <c r="BE45" s="4" t="s">
        <v>250</v>
      </c>
      <c r="BF45" s="4" t="s">
        <v>241</v>
      </c>
      <c r="BH45" s="4" t="s">
        <v>340</v>
      </c>
      <c r="BJ45" s="4" t="s">
        <v>433</v>
      </c>
      <c r="BK45" s="5" t="s">
        <v>434</v>
      </c>
      <c r="BL45" s="4" t="s">
        <v>253</v>
      </c>
      <c r="BM45" s="4" t="s">
        <v>254</v>
      </c>
      <c r="BN45" s="4" t="s">
        <v>241</v>
      </c>
      <c r="BO45" s="6">
        <f>0</f>
        <v>0</v>
      </c>
      <c r="BP45" s="6">
        <f>0</f>
        <v>0</v>
      </c>
      <c r="BQ45" s="4" t="s">
        <v>255</v>
      </c>
      <c r="BR45" s="4" t="s">
        <v>256</v>
      </c>
      <c r="CF45" s="4" t="s">
        <v>241</v>
      </c>
      <c r="CG45" s="4" t="s">
        <v>241</v>
      </c>
      <c r="CK45" s="4" t="s">
        <v>257</v>
      </c>
      <c r="CL45" s="4" t="s">
        <v>258</v>
      </c>
      <c r="CM45" s="4" t="s">
        <v>241</v>
      </c>
      <c r="CO45" s="4" t="s">
        <v>259</v>
      </c>
      <c r="CP45" s="5" t="s">
        <v>260</v>
      </c>
      <c r="CQ45" s="4" t="s">
        <v>261</v>
      </c>
      <c r="CR45" s="4" t="s">
        <v>262</v>
      </c>
      <c r="CS45" s="4" t="s">
        <v>241</v>
      </c>
      <c r="CT45" s="4" t="s">
        <v>241</v>
      </c>
      <c r="CU45" s="4">
        <v>0</v>
      </c>
      <c r="CV45" s="4" t="s">
        <v>298</v>
      </c>
      <c r="CW45" s="4" t="s">
        <v>299</v>
      </c>
      <c r="CX45" s="4" t="s">
        <v>321</v>
      </c>
      <c r="CZ45" s="6">
        <f t="shared" si="3"/>
        <v>589000</v>
      </c>
      <c r="DA45" s="6">
        <f>0</f>
        <v>0</v>
      </c>
      <c r="DC45" s="4" t="s">
        <v>241</v>
      </c>
      <c r="DD45" s="4" t="s">
        <v>241</v>
      </c>
      <c r="DF45" s="4" t="s">
        <v>241</v>
      </c>
      <c r="DI45" s="4" t="s">
        <v>241</v>
      </c>
      <c r="DJ45" s="4" t="s">
        <v>241</v>
      </c>
      <c r="DK45" s="4" t="s">
        <v>241</v>
      </c>
      <c r="DL45" s="4" t="s">
        <v>241</v>
      </c>
      <c r="DM45" s="4" t="s">
        <v>268</v>
      </c>
      <c r="DN45" s="4" t="s">
        <v>269</v>
      </c>
      <c r="DO45" s="6">
        <f t="shared" si="4"/>
        <v>6.2</v>
      </c>
      <c r="DP45" s="4" t="s">
        <v>241</v>
      </c>
      <c r="DQ45" s="4" t="s">
        <v>241</v>
      </c>
      <c r="DR45" s="4" t="s">
        <v>241</v>
      </c>
      <c r="DS45" s="4" t="s">
        <v>241</v>
      </c>
      <c r="DV45" s="4" t="s">
        <v>490</v>
      </c>
      <c r="DW45" s="4" t="s">
        <v>268</v>
      </c>
      <c r="HO45" s="4" t="s">
        <v>268</v>
      </c>
      <c r="HR45" s="4" t="s">
        <v>269</v>
      </c>
      <c r="HS45" s="4" t="s">
        <v>269</v>
      </c>
    </row>
    <row r="46" spans="1:240" x14ac:dyDescent="0.4">
      <c r="A46" s="4">
        <v>2</v>
      </c>
      <c r="B46" s="4" t="s">
        <v>239</v>
      </c>
      <c r="C46" s="4">
        <v>1123</v>
      </c>
      <c r="D46" s="4">
        <v>1</v>
      </c>
      <c r="E46" s="4">
        <v>1</v>
      </c>
      <c r="F46" s="4" t="s">
        <v>240</v>
      </c>
      <c r="G46" s="4" t="s">
        <v>241</v>
      </c>
      <c r="H46" s="4" t="s">
        <v>241</v>
      </c>
      <c r="I46" s="4" t="s">
        <v>491</v>
      </c>
      <c r="J46" s="4" t="s">
        <v>317</v>
      </c>
      <c r="K46" s="4" t="s">
        <v>249</v>
      </c>
      <c r="L46" s="4" t="s">
        <v>308</v>
      </c>
      <c r="M46" s="5" t="s">
        <v>492</v>
      </c>
      <c r="N46" s="4" t="s">
        <v>308</v>
      </c>
      <c r="O46" s="6">
        <f t="shared" si="0"/>
        <v>6.2</v>
      </c>
      <c r="P46" s="4" t="s">
        <v>267</v>
      </c>
      <c r="Q46" s="6">
        <f>1</f>
        <v>1</v>
      </c>
      <c r="R46" s="6">
        <f t="shared" si="1"/>
        <v>589000</v>
      </c>
      <c r="S46" s="5" t="s">
        <v>243</v>
      </c>
      <c r="T46" s="4" t="s">
        <v>322</v>
      </c>
      <c r="U46" s="4" t="s">
        <v>266</v>
      </c>
      <c r="W46" s="6">
        <f t="shared" si="2"/>
        <v>588999</v>
      </c>
      <c r="X46" s="4" t="s">
        <v>292</v>
      </c>
      <c r="Y46" s="4" t="s">
        <v>242</v>
      </c>
      <c r="Z46" s="4" t="s">
        <v>306</v>
      </c>
      <c r="AA46" s="4" t="s">
        <v>241</v>
      </c>
      <c r="AD46" s="4" t="s">
        <v>241</v>
      </c>
      <c r="AF46" s="5" t="s">
        <v>241</v>
      </c>
      <c r="AI46" s="5" t="s">
        <v>485</v>
      </c>
      <c r="AJ46" s="4" t="s">
        <v>245</v>
      </c>
      <c r="AK46" s="4" t="s">
        <v>246</v>
      </c>
      <c r="BA46" s="4" t="s">
        <v>247</v>
      </c>
      <c r="BB46" s="4" t="s">
        <v>241</v>
      </c>
      <c r="BC46" s="4" t="s">
        <v>248</v>
      </c>
      <c r="BD46" s="4" t="s">
        <v>241</v>
      </c>
      <c r="BE46" s="4" t="s">
        <v>250</v>
      </c>
      <c r="BF46" s="4" t="s">
        <v>241</v>
      </c>
      <c r="BH46" s="4" t="s">
        <v>340</v>
      </c>
      <c r="BJ46" s="4" t="s">
        <v>251</v>
      </c>
      <c r="BK46" s="5" t="s">
        <v>252</v>
      </c>
      <c r="BL46" s="4" t="s">
        <v>253</v>
      </c>
      <c r="BM46" s="4" t="s">
        <v>254</v>
      </c>
      <c r="BN46" s="4" t="s">
        <v>241</v>
      </c>
      <c r="BO46" s="6">
        <f>0</f>
        <v>0</v>
      </c>
      <c r="BP46" s="6">
        <f>0</f>
        <v>0</v>
      </c>
      <c r="BQ46" s="4" t="s">
        <v>255</v>
      </c>
      <c r="BR46" s="4" t="s">
        <v>256</v>
      </c>
      <c r="CF46" s="4" t="s">
        <v>241</v>
      </c>
      <c r="CG46" s="4" t="s">
        <v>241</v>
      </c>
      <c r="CK46" s="4" t="s">
        <v>257</v>
      </c>
      <c r="CL46" s="4" t="s">
        <v>258</v>
      </c>
      <c r="CM46" s="4" t="s">
        <v>241</v>
      </c>
      <c r="CO46" s="4" t="s">
        <v>259</v>
      </c>
      <c r="CP46" s="5" t="s">
        <v>260</v>
      </c>
      <c r="CQ46" s="4" t="s">
        <v>261</v>
      </c>
      <c r="CR46" s="4" t="s">
        <v>262</v>
      </c>
      <c r="CS46" s="4" t="s">
        <v>241</v>
      </c>
      <c r="CT46" s="4" t="s">
        <v>241</v>
      </c>
      <c r="CU46" s="4">
        <v>0</v>
      </c>
      <c r="CV46" s="4" t="s">
        <v>298</v>
      </c>
      <c r="CW46" s="4" t="s">
        <v>299</v>
      </c>
      <c r="CX46" s="4" t="s">
        <v>321</v>
      </c>
      <c r="CZ46" s="6">
        <f t="shared" si="3"/>
        <v>589000</v>
      </c>
      <c r="DA46" s="6">
        <f>0</f>
        <v>0</v>
      </c>
      <c r="DC46" s="4" t="s">
        <v>241</v>
      </c>
      <c r="DD46" s="4" t="s">
        <v>241</v>
      </c>
      <c r="DF46" s="4" t="s">
        <v>241</v>
      </c>
      <c r="DI46" s="4" t="s">
        <v>241</v>
      </c>
      <c r="DJ46" s="4" t="s">
        <v>241</v>
      </c>
      <c r="DK46" s="4" t="s">
        <v>241</v>
      </c>
      <c r="DL46" s="4" t="s">
        <v>241</v>
      </c>
      <c r="DM46" s="4" t="s">
        <v>268</v>
      </c>
      <c r="DN46" s="4" t="s">
        <v>269</v>
      </c>
      <c r="DO46" s="6">
        <f t="shared" si="4"/>
        <v>6.2</v>
      </c>
      <c r="DP46" s="4" t="s">
        <v>241</v>
      </c>
      <c r="DQ46" s="4" t="s">
        <v>241</v>
      </c>
      <c r="DR46" s="4" t="s">
        <v>241</v>
      </c>
      <c r="DS46" s="4" t="s">
        <v>241</v>
      </c>
      <c r="DV46" s="4" t="s">
        <v>493</v>
      </c>
      <c r="DW46" s="4" t="s">
        <v>268</v>
      </c>
      <c r="HO46" s="4" t="s">
        <v>268</v>
      </c>
      <c r="HR46" s="4" t="s">
        <v>269</v>
      </c>
      <c r="HS46" s="4" t="s">
        <v>269</v>
      </c>
    </row>
    <row r="47" spans="1:240" x14ac:dyDescent="0.4">
      <c r="A47" s="4">
        <v>2</v>
      </c>
      <c r="B47" s="4" t="s">
        <v>239</v>
      </c>
      <c r="C47" s="4">
        <v>1124</v>
      </c>
      <c r="D47" s="4">
        <v>1</v>
      </c>
      <c r="E47" s="4">
        <v>1</v>
      </c>
      <c r="F47" s="4" t="s">
        <v>240</v>
      </c>
      <c r="G47" s="4" t="s">
        <v>241</v>
      </c>
      <c r="H47" s="4" t="s">
        <v>241</v>
      </c>
      <c r="I47" s="4" t="s">
        <v>494</v>
      </c>
      <c r="J47" s="4" t="s">
        <v>317</v>
      </c>
      <c r="K47" s="4" t="s">
        <v>249</v>
      </c>
      <c r="L47" s="4" t="s">
        <v>308</v>
      </c>
      <c r="M47" s="5" t="s">
        <v>496</v>
      </c>
      <c r="N47" s="4" t="s">
        <v>308</v>
      </c>
      <c r="O47" s="6">
        <f t="shared" si="0"/>
        <v>6.2</v>
      </c>
      <c r="P47" s="4" t="s">
        <v>267</v>
      </c>
      <c r="Q47" s="6">
        <f>1</f>
        <v>1</v>
      </c>
      <c r="R47" s="6">
        <f t="shared" si="1"/>
        <v>589000</v>
      </c>
      <c r="S47" s="5" t="s">
        <v>243</v>
      </c>
      <c r="T47" s="4" t="s">
        <v>322</v>
      </c>
      <c r="U47" s="4" t="s">
        <v>266</v>
      </c>
      <c r="W47" s="6">
        <f t="shared" si="2"/>
        <v>588999</v>
      </c>
      <c r="X47" s="4" t="s">
        <v>292</v>
      </c>
      <c r="Y47" s="4" t="s">
        <v>242</v>
      </c>
      <c r="Z47" s="4" t="s">
        <v>306</v>
      </c>
      <c r="AA47" s="4" t="s">
        <v>241</v>
      </c>
      <c r="AD47" s="4" t="s">
        <v>241</v>
      </c>
      <c r="AF47" s="5" t="s">
        <v>241</v>
      </c>
      <c r="AI47" s="5" t="s">
        <v>495</v>
      </c>
      <c r="AJ47" s="4" t="s">
        <v>245</v>
      </c>
      <c r="AK47" s="4" t="s">
        <v>246</v>
      </c>
      <c r="BA47" s="4" t="s">
        <v>247</v>
      </c>
      <c r="BB47" s="4" t="s">
        <v>241</v>
      </c>
      <c r="BC47" s="4" t="s">
        <v>248</v>
      </c>
      <c r="BD47" s="4" t="s">
        <v>241</v>
      </c>
      <c r="BE47" s="4" t="s">
        <v>250</v>
      </c>
      <c r="BF47" s="4" t="s">
        <v>241</v>
      </c>
      <c r="BH47" s="4" t="s">
        <v>340</v>
      </c>
      <c r="BJ47" s="4" t="s">
        <v>251</v>
      </c>
      <c r="BK47" s="5" t="s">
        <v>495</v>
      </c>
      <c r="BL47" s="4" t="s">
        <v>253</v>
      </c>
      <c r="BM47" s="4" t="s">
        <v>254</v>
      </c>
      <c r="BN47" s="4" t="s">
        <v>241</v>
      </c>
      <c r="BO47" s="6">
        <f>0</f>
        <v>0</v>
      </c>
      <c r="BP47" s="6">
        <f>0</f>
        <v>0</v>
      </c>
      <c r="BQ47" s="4" t="s">
        <v>255</v>
      </c>
      <c r="BR47" s="4" t="s">
        <v>256</v>
      </c>
      <c r="CF47" s="4" t="s">
        <v>241</v>
      </c>
      <c r="CG47" s="4" t="s">
        <v>241</v>
      </c>
      <c r="CK47" s="4" t="s">
        <v>257</v>
      </c>
      <c r="CL47" s="4" t="s">
        <v>258</v>
      </c>
      <c r="CM47" s="4" t="s">
        <v>241</v>
      </c>
      <c r="CO47" s="4" t="s">
        <v>259</v>
      </c>
      <c r="CP47" s="5" t="s">
        <v>260</v>
      </c>
      <c r="CQ47" s="4" t="s">
        <v>261</v>
      </c>
      <c r="CR47" s="4" t="s">
        <v>262</v>
      </c>
      <c r="CS47" s="4" t="s">
        <v>241</v>
      </c>
      <c r="CT47" s="4" t="s">
        <v>241</v>
      </c>
      <c r="CU47" s="4">
        <v>0</v>
      </c>
      <c r="CV47" s="4" t="s">
        <v>298</v>
      </c>
      <c r="CW47" s="4" t="s">
        <v>299</v>
      </c>
      <c r="CX47" s="4" t="s">
        <v>321</v>
      </c>
      <c r="CZ47" s="6">
        <f t="shared" si="3"/>
        <v>589000</v>
      </c>
      <c r="DA47" s="6">
        <f>0</f>
        <v>0</v>
      </c>
      <c r="DC47" s="4" t="s">
        <v>241</v>
      </c>
      <c r="DD47" s="4" t="s">
        <v>241</v>
      </c>
      <c r="DF47" s="4" t="s">
        <v>241</v>
      </c>
      <c r="DI47" s="4" t="s">
        <v>241</v>
      </c>
      <c r="DJ47" s="4" t="s">
        <v>241</v>
      </c>
      <c r="DK47" s="4" t="s">
        <v>241</v>
      </c>
      <c r="DL47" s="4" t="s">
        <v>241</v>
      </c>
      <c r="DM47" s="4" t="s">
        <v>268</v>
      </c>
      <c r="DN47" s="4" t="s">
        <v>269</v>
      </c>
      <c r="DO47" s="6">
        <f t="shared" si="4"/>
        <v>6.2</v>
      </c>
      <c r="DP47" s="4" t="s">
        <v>241</v>
      </c>
      <c r="DQ47" s="4" t="s">
        <v>241</v>
      </c>
      <c r="DR47" s="4" t="s">
        <v>241</v>
      </c>
      <c r="DS47" s="4" t="s">
        <v>241</v>
      </c>
      <c r="DV47" s="4" t="s">
        <v>497</v>
      </c>
      <c r="DW47" s="4" t="s">
        <v>268</v>
      </c>
      <c r="HO47" s="4" t="s">
        <v>268</v>
      </c>
      <c r="HR47" s="4" t="s">
        <v>269</v>
      </c>
      <c r="HS47" s="4" t="s">
        <v>269</v>
      </c>
    </row>
    <row r="48" spans="1:240" x14ac:dyDescent="0.4">
      <c r="A48" s="4">
        <v>2</v>
      </c>
      <c r="B48" s="4" t="s">
        <v>239</v>
      </c>
      <c r="C48" s="4">
        <v>1125</v>
      </c>
      <c r="D48" s="4">
        <v>1</v>
      </c>
      <c r="E48" s="4">
        <v>1</v>
      </c>
      <c r="F48" s="4" t="s">
        <v>240</v>
      </c>
      <c r="G48" s="4" t="s">
        <v>241</v>
      </c>
      <c r="H48" s="4" t="s">
        <v>241</v>
      </c>
      <c r="I48" s="4" t="s">
        <v>498</v>
      </c>
      <c r="J48" s="4" t="s">
        <v>317</v>
      </c>
      <c r="K48" s="4" t="s">
        <v>249</v>
      </c>
      <c r="L48" s="4" t="s">
        <v>308</v>
      </c>
      <c r="M48" s="5" t="s">
        <v>499</v>
      </c>
      <c r="N48" s="4" t="s">
        <v>308</v>
      </c>
      <c r="O48" s="6">
        <f>6.84</f>
        <v>6.84</v>
      </c>
      <c r="P48" s="4" t="s">
        <v>267</v>
      </c>
      <c r="Q48" s="6">
        <f>1</f>
        <v>1</v>
      </c>
      <c r="R48" s="6">
        <f>649800</f>
        <v>649800</v>
      </c>
      <c r="S48" s="5" t="s">
        <v>243</v>
      </c>
      <c r="T48" s="4" t="s">
        <v>322</v>
      </c>
      <c r="U48" s="4" t="s">
        <v>266</v>
      </c>
      <c r="W48" s="6">
        <f>649799</f>
        <v>649799</v>
      </c>
      <c r="X48" s="4" t="s">
        <v>292</v>
      </c>
      <c r="Y48" s="4" t="s">
        <v>242</v>
      </c>
      <c r="Z48" s="4" t="s">
        <v>306</v>
      </c>
      <c r="AA48" s="4" t="s">
        <v>241</v>
      </c>
      <c r="AD48" s="4" t="s">
        <v>241</v>
      </c>
      <c r="AF48" s="5" t="s">
        <v>241</v>
      </c>
      <c r="AI48" s="5" t="s">
        <v>495</v>
      </c>
      <c r="AJ48" s="4" t="s">
        <v>245</v>
      </c>
      <c r="AK48" s="4" t="s">
        <v>246</v>
      </c>
      <c r="BA48" s="4" t="s">
        <v>247</v>
      </c>
      <c r="BB48" s="4" t="s">
        <v>241</v>
      </c>
      <c r="BC48" s="4" t="s">
        <v>248</v>
      </c>
      <c r="BD48" s="4" t="s">
        <v>241</v>
      </c>
      <c r="BE48" s="4" t="s">
        <v>250</v>
      </c>
      <c r="BF48" s="4" t="s">
        <v>241</v>
      </c>
      <c r="BH48" s="4" t="s">
        <v>340</v>
      </c>
      <c r="BJ48" s="4" t="s">
        <v>251</v>
      </c>
      <c r="BK48" s="5" t="s">
        <v>252</v>
      </c>
      <c r="BL48" s="4" t="s">
        <v>253</v>
      </c>
      <c r="BM48" s="4" t="s">
        <v>254</v>
      </c>
      <c r="BN48" s="4" t="s">
        <v>241</v>
      </c>
      <c r="BO48" s="6">
        <f>0</f>
        <v>0</v>
      </c>
      <c r="BP48" s="6">
        <f>0</f>
        <v>0</v>
      </c>
      <c r="BQ48" s="4" t="s">
        <v>255</v>
      </c>
      <c r="BR48" s="4" t="s">
        <v>256</v>
      </c>
      <c r="CF48" s="4" t="s">
        <v>241</v>
      </c>
      <c r="CG48" s="4" t="s">
        <v>241</v>
      </c>
      <c r="CK48" s="4" t="s">
        <v>257</v>
      </c>
      <c r="CL48" s="4" t="s">
        <v>258</v>
      </c>
      <c r="CM48" s="4" t="s">
        <v>241</v>
      </c>
      <c r="CO48" s="4" t="s">
        <v>259</v>
      </c>
      <c r="CP48" s="5" t="s">
        <v>260</v>
      </c>
      <c r="CQ48" s="4" t="s">
        <v>261</v>
      </c>
      <c r="CR48" s="4" t="s">
        <v>262</v>
      </c>
      <c r="CS48" s="4" t="s">
        <v>241</v>
      </c>
      <c r="CT48" s="4" t="s">
        <v>241</v>
      </c>
      <c r="CU48" s="4">
        <v>0</v>
      </c>
      <c r="CV48" s="4" t="s">
        <v>298</v>
      </c>
      <c r="CW48" s="4" t="s">
        <v>299</v>
      </c>
      <c r="CX48" s="4" t="s">
        <v>321</v>
      </c>
      <c r="CZ48" s="6">
        <f>649800</f>
        <v>649800</v>
      </c>
      <c r="DA48" s="6">
        <f>0</f>
        <v>0</v>
      </c>
      <c r="DC48" s="4" t="s">
        <v>241</v>
      </c>
      <c r="DD48" s="4" t="s">
        <v>241</v>
      </c>
      <c r="DF48" s="4" t="s">
        <v>241</v>
      </c>
      <c r="DI48" s="4" t="s">
        <v>241</v>
      </c>
      <c r="DJ48" s="4" t="s">
        <v>241</v>
      </c>
      <c r="DK48" s="4" t="s">
        <v>241</v>
      </c>
      <c r="DL48" s="4" t="s">
        <v>241</v>
      </c>
      <c r="DM48" s="4" t="s">
        <v>268</v>
      </c>
      <c r="DN48" s="4" t="s">
        <v>269</v>
      </c>
      <c r="DO48" s="6">
        <f>6.84</f>
        <v>6.84</v>
      </c>
      <c r="DP48" s="4" t="s">
        <v>241</v>
      </c>
      <c r="DQ48" s="4" t="s">
        <v>241</v>
      </c>
      <c r="DR48" s="4" t="s">
        <v>241</v>
      </c>
      <c r="DS48" s="4" t="s">
        <v>241</v>
      </c>
      <c r="DV48" s="4" t="s">
        <v>500</v>
      </c>
      <c r="DW48" s="4" t="s">
        <v>268</v>
      </c>
      <c r="HO48" s="4" t="s">
        <v>268</v>
      </c>
      <c r="HR48" s="4" t="s">
        <v>269</v>
      </c>
      <c r="HS48" s="4" t="s">
        <v>269</v>
      </c>
    </row>
    <row r="49" spans="1:227" x14ac:dyDescent="0.4">
      <c r="A49" s="4">
        <v>2</v>
      </c>
      <c r="B49" s="4" t="s">
        <v>239</v>
      </c>
      <c r="C49" s="4">
        <v>1126</v>
      </c>
      <c r="D49" s="4">
        <v>1</v>
      </c>
      <c r="E49" s="4">
        <v>1</v>
      </c>
      <c r="F49" s="4" t="s">
        <v>240</v>
      </c>
      <c r="G49" s="4" t="s">
        <v>241</v>
      </c>
      <c r="H49" s="4" t="s">
        <v>241</v>
      </c>
      <c r="I49" s="4" t="s">
        <v>501</v>
      </c>
      <c r="J49" s="4" t="s">
        <v>317</v>
      </c>
      <c r="K49" s="4" t="s">
        <v>249</v>
      </c>
      <c r="L49" s="4" t="s">
        <v>308</v>
      </c>
      <c r="M49" s="5" t="s">
        <v>503</v>
      </c>
      <c r="N49" s="4" t="s">
        <v>308</v>
      </c>
      <c r="O49" s="6">
        <f>5.94</f>
        <v>5.94</v>
      </c>
      <c r="P49" s="4" t="s">
        <v>267</v>
      </c>
      <c r="Q49" s="6">
        <f>1</f>
        <v>1</v>
      </c>
      <c r="R49" s="6">
        <f>873180</f>
        <v>873180</v>
      </c>
      <c r="S49" s="5" t="s">
        <v>502</v>
      </c>
      <c r="T49" s="4" t="s">
        <v>322</v>
      </c>
      <c r="U49" s="4" t="s">
        <v>505</v>
      </c>
      <c r="W49" s="6">
        <f>873179</f>
        <v>873179</v>
      </c>
      <c r="X49" s="4" t="s">
        <v>292</v>
      </c>
      <c r="Y49" s="4" t="s">
        <v>242</v>
      </c>
      <c r="Z49" s="4" t="s">
        <v>306</v>
      </c>
      <c r="AA49" s="4" t="s">
        <v>241</v>
      </c>
      <c r="AD49" s="4" t="s">
        <v>241</v>
      </c>
      <c r="AF49" s="5" t="s">
        <v>241</v>
      </c>
      <c r="AI49" s="5" t="s">
        <v>244</v>
      </c>
      <c r="AJ49" s="4" t="s">
        <v>245</v>
      </c>
      <c r="AK49" s="4" t="s">
        <v>246</v>
      </c>
      <c r="BA49" s="4" t="s">
        <v>247</v>
      </c>
      <c r="BB49" s="4" t="s">
        <v>241</v>
      </c>
      <c r="BC49" s="4" t="s">
        <v>248</v>
      </c>
      <c r="BD49" s="4" t="s">
        <v>241</v>
      </c>
      <c r="BE49" s="4" t="s">
        <v>250</v>
      </c>
      <c r="BF49" s="4" t="s">
        <v>241</v>
      </c>
      <c r="BJ49" s="4" t="s">
        <v>399</v>
      </c>
      <c r="BK49" s="5" t="s">
        <v>244</v>
      </c>
      <c r="BL49" s="4" t="s">
        <v>253</v>
      </c>
      <c r="BM49" s="4" t="s">
        <v>254</v>
      </c>
      <c r="BN49" s="4" t="s">
        <v>241</v>
      </c>
      <c r="BO49" s="6">
        <f>0</f>
        <v>0</v>
      </c>
      <c r="BP49" s="6">
        <f>0</f>
        <v>0</v>
      </c>
      <c r="BQ49" s="4" t="s">
        <v>255</v>
      </c>
      <c r="BR49" s="4" t="s">
        <v>256</v>
      </c>
      <c r="CF49" s="4" t="s">
        <v>241</v>
      </c>
      <c r="CG49" s="4" t="s">
        <v>241</v>
      </c>
      <c r="CK49" s="4" t="s">
        <v>276</v>
      </c>
      <c r="CL49" s="4" t="s">
        <v>258</v>
      </c>
      <c r="CM49" s="4" t="s">
        <v>241</v>
      </c>
      <c r="CO49" s="4" t="s">
        <v>504</v>
      </c>
      <c r="CP49" s="5" t="s">
        <v>260</v>
      </c>
      <c r="CQ49" s="4" t="s">
        <v>261</v>
      </c>
      <c r="CR49" s="4" t="s">
        <v>262</v>
      </c>
      <c r="CS49" s="4" t="s">
        <v>241</v>
      </c>
      <c r="CT49" s="4" t="s">
        <v>241</v>
      </c>
      <c r="CU49" s="4">
        <v>0</v>
      </c>
      <c r="CV49" s="4" t="s">
        <v>298</v>
      </c>
      <c r="CW49" s="4" t="s">
        <v>299</v>
      </c>
      <c r="CX49" s="4" t="s">
        <v>321</v>
      </c>
      <c r="CZ49" s="6">
        <f>873180</f>
        <v>873180</v>
      </c>
      <c r="DA49" s="6">
        <f>0</f>
        <v>0</v>
      </c>
      <c r="DC49" s="4" t="s">
        <v>241</v>
      </c>
      <c r="DD49" s="4" t="s">
        <v>241</v>
      </c>
      <c r="DF49" s="4" t="s">
        <v>241</v>
      </c>
      <c r="DI49" s="4" t="s">
        <v>241</v>
      </c>
      <c r="DJ49" s="4" t="s">
        <v>241</v>
      </c>
      <c r="DK49" s="4" t="s">
        <v>241</v>
      </c>
      <c r="DL49" s="4" t="s">
        <v>241</v>
      </c>
      <c r="DM49" s="4" t="s">
        <v>268</v>
      </c>
      <c r="DN49" s="4" t="s">
        <v>269</v>
      </c>
      <c r="DO49" s="6">
        <f>5.94</f>
        <v>5.94</v>
      </c>
      <c r="DP49" s="4" t="s">
        <v>241</v>
      </c>
      <c r="DQ49" s="4" t="s">
        <v>241</v>
      </c>
      <c r="DR49" s="4" t="s">
        <v>241</v>
      </c>
      <c r="DS49" s="4" t="s">
        <v>241</v>
      </c>
      <c r="DV49" s="4" t="s">
        <v>506</v>
      </c>
      <c r="DW49" s="4" t="s">
        <v>268</v>
      </c>
      <c r="HO49" s="4" t="s">
        <v>268</v>
      </c>
      <c r="HR49" s="4" t="s">
        <v>269</v>
      </c>
      <c r="HS49" s="4" t="s">
        <v>269</v>
      </c>
    </row>
    <row r="50" spans="1:227" x14ac:dyDescent="0.4">
      <c r="A50" s="4">
        <v>2</v>
      </c>
      <c r="B50" s="4" t="s">
        <v>239</v>
      </c>
      <c r="C50" s="4">
        <v>1127</v>
      </c>
      <c r="D50" s="4">
        <v>1</v>
      </c>
      <c r="E50" s="4">
        <v>1</v>
      </c>
      <c r="F50" s="4" t="s">
        <v>240</v>
      </c>
      <c r="G50" s="4" t="s">
        <v>241</v>
      </c>
      <c r="H50" s="4" t="s">
        <v>241</v>
      </c>
      <c r="I50" s="4" t="s">
        <v>507</v>
      </c>
      <c r="J50" s="4" t="s">
        <v>317</v>
      </c>
      <c r="K50" s="4" t="s">
        <v>249</v>
      </c>
      <c r="L50" s="4" t="s">
        <v>308</v>
      </c>
      <c r="M50" s="5" t="s">
        <v>509</v>
      </c>
      <c r="N50" s="4" t="s">
        <v>308</v>
      </c>
      <c r="O50" s="6">
        <f>3.31</f>
        <v>3.31</v>
      </c>
      <c r="P50" s="4" t="s">
        <v>267</v>
      </c>
      <c r="Q50" s="6">
        <f>1</f>
        <v>1</v>
      </c>
      <c r="R50" s="6">
        <f>314450</f>
        <v>314450</v>
      </c>
      <c r="S50" s="5" t="s">
        <v>508</v>
      </c>
      <c r="T50" s="4" t="s">
        <v>322</v>
      </c>
      <c r="U50" s="4" t="s">
        <v>511</v>
      </c>
      <c r="W50" s="6">
        <f>314449</f>
        <v>314449</v>
      </c>
      <c r="X50" s="4" t="s">
        <v>292</v>
      </c>
      <c r="Y50" s="4" t="s">
        <v>242</v>
      </c>
      <c r="Z50" s="4" t="s">
        <v>306</v>
      </c>
      <c r="AA50" s="4" t="s">
        <v>241</v>
      </c>
      <c r="AD50" s="4" t="s">
        <v>241</v>
      </c>
      <c r="AF50" s="5" t="s">
        <v>241</v>
      </c>
      <c r="AI50" s="5" t="s">
        <v>244</v>
      </c>
      <c r="AJ50" s="4" t="s">
        <v>245</v>
      </c>
      <c r="AK50" s="4" t="s">
        <v>246</v>
      </c>
      <c r="BA50" s="4" t="s">
        <v>247</v>
      </c>
      <c r="BB50" s="4" t="s">
        <v>241</v>
      </c>
      <c r="BC50" s="4" t="s">
        <v>248</v>
      </c>
      <c r="BD50" s="4" t="s">
        <v>241</v>
      </c>
      <c r="BE50" s="4" t="s">
        <v>250</v>
      </c>
      <c r="BF50" s="4" t="s">
        <v>241</v>
      </c>
      <c r="BJ50" s="4" t="s">
        <v>427</v>
      </c>
      <c r="BK50" s="5" t="s">
        <v>428</v>
      </c>
      <c r="BL50" s="4" t="s">
        <v>253</v>
      </c>
      <c r="BM50" s="4" t="s">
        <v>254</v>
      </c>
      <c r="BN50" s="4" t="s">
        <v>241</v>
      </c>
      <c r="BO50" s="6">
        <f>0</f>
        <v>0</v>
      </c>
      <c r="BP50" s="6">
        <f>0</f>
        <v>0</v>
      </c>
      <c r="BQ50" s="4" t="s">
        <v>255</v>
      </c>
      <c r="BR50" s="4" t="s">
        <v>256</v>
      </c>
      <c r="CF50" s="4" t="s">
        <v>241</v>
      </c>
      <c r="CG50" s="4" t="s">
        <v>241</v>
      </c>
      <c r="CK50" s="4" t="s">
        <v>257</v>
      </c>
      <c r="CL50" s="4" t="s">
        <v>258</v>
      </c>
      <c r="CM50" s="4" t="s">
        <v>241</v>
      </c>
      <c r="CO50" s="4" t="s">
        <v>510</v>
      </c>
      <c r="CP50" s="5" t="s">
        <v>260</v>
      </c>
      <c r="CQ50" s="4" t="s">
        <v>261</v>
      </c>
      <c r="CR50" s="4" t="s">
        <v>262</v>
      </c>
      <c r="CS50" s="4" t="s">
        <v>241</v>
      </c>
      <c r="CT50" s="4" t="s">
        <v>241</v>
      </c>
      <c r="CU50" s="4">
        <v>0</v>
      </c>
      <c r="CV50" s="4" t="s">
        <v>298</v>
      </c>
      <c r="CW50" s="4" t="s">
        <v>299</v>
      </c>
      <c r="CX50" s="4" t="s">
        <v>321</v>
      </c>
      <c r="CZ50" s="6">
        <f>314450</f>
        <v>314450</v>
      </c>
      <c r="DA50" s="6">
        <f>0</f>
        <v>0</v>
      </c>
      <c r="DC50" s="4" t="s">
        <v>241</v>
      </c>
      <c r="DD50" s="4" t="s">
        <v>241</v>
      </c>
      <c r="DF50" s="4" t="s">
        <v>241</v>
      </c>
      <c r="DI50" s="4" t="s">
        <v>241</v>
      </c>
      <c r="DJ50" s="4" t="s">
        <v>241</v>
      </c>
      <c r="DK50" s="4" t="s">
        <v>241</v>
      </c>
      <c r="DL50" s="4" t="s">
        <v>241</v>
      </c>
      <c r="DM50" s="4" t="s">
        <v>268</v>
      </c>
      <c r="DN50" s="4" t="s">
        <v>269</v>
      </c>
      <c r="DO50" s="6">
        <f>3.31</f>
        <v>3.31</v>
      </c>
      <c r="DP50" s="4" t="s">
        <v>241</v>
      </c>
      <c r="DQ50" s="4" t="s">
        <v>241</v>
      </c>
      <c r="DR50" s="4" t="s">
        <v>241</v>
      </c>
      <c r="DS50" s="4" t="s">
        <v>241</v>
      </c>
      <c r="DV50" s="4" t="s">
        <v>512</v>
      </c>
      <c r="DW50" s="4" t="s">
        <v>268</v>
      </c>
      <c r="HO50" s="4" t="s">
        <v>268</v>
      </c>
      <c r="HR50" s="4" t="s">
        <v>269</v>
      </c>
      <c r="HS50" s="4" t="s">
        <v>269</v>
      </c>
    </row>
    <row r="51" spans="1:227" x14ac:dyDescent="0.4">
      <c r="A51" s="4">
        <v>2</v>
      </c>
      <c r="B51" s="4" t="s">
        <v>239</v>
      </c>
      <c r="C51" s="4">
        <v>1128</v>
      </c>
      <c r="D51" s="4">
        <v>1</v>
      </c>
      <c r="E51" s="4">
        <v>1</v>
      </c>
      <c r="F51" s="4" t="s">
        <v>240</v>
      </c>
      <c r="G51" s="4" t="s">
        <v>241</v>
      </c>
      <c r="H51" s="4" t="s">
        <v>241</v>
      </c>
      <c r="I51" s="4" t="s">
        <v>513</v>
      </c>
      <c r="J51" s="4" t="s">
        <v>317</v>
      </c>
      <c r="K51" s="4" t="s">
        <v>249</v>
      </c>
      <c r="L51" s="4" t="s">
        <v>308</v>
      </c>
      <c r="M51" s="5" t="s">
        <v>514</v>
      </c>
      <c r="N51" s="4" t="s">
        <v>308</v>
      </c>
      <c r="O51" s="6">
        <f>6.2</f>
        <v>6.2</v>
      </c>
      <c r="P51" s="4" t="s">
        <v>267</v>
      </c>
      <c r="Q51" s="6">
        <f>1</f>
        <v>1</v>
      </c>
      <c r="R51" s="6">
        <f>589000</f>
        <v>589000</v>
      </c>
      <c r="S51" s="5" t="s">
        <v>243</v>
      </c>
      <c r="T51" s="4" t="s">
        <v>322</v>
      </c>
      <c r="U51" s="4" t="s">
        <v>266</v>
      </c>
      <c r="W51" s="6">
        <f>588999</f>
        <v>588999</v>
      </c>
      <c r="X51" s="4" t="s">
        <v>292</v>
      </c>
      <c r="Y51" s="4" t="s">
        <v>242</v>
      </c>
      <c r="Z51" s="4" t="s">
        <v>306</v>
      </c>
      <c r="AA51" s="4" t="s">
        <v>241</v>
      </c>
      <c r="AD51" s="4" t="s">
        <v>241</v>
      </c>
      <c r="AF51" s="5" t="s">
        <v>241</v>
      </c>
      <c r="AI51" s="5" t="s">
        <v>244</v>
      </c>
      <c r="AJ51" s="4" t="s">
        <v>245</v>
      </c>
      <c r="AK51" s="4" t="s">
        <v>246</v>
      </c>
      <c r="BA51" s="4" t="s">
        <v>247</v>
      </c>
      <c r="BB51" s="4" t="s">
        <v>241</v>
      </c>
      <c r="BC51" s="4" t="s">
        <v>248</v>
      </c>
      <c r="BD51" s="4" t="s">
        <v>241</v>
      </c>
      <c r="BE51" s="4" t="s">
        <v>250</v>
      </c>
      <c r="BF51" s="4" t="s">
        <v>241</v>
      </c>
      <c r="BJ51" s="4" t="s">
        <v>433</v>
      </c>
      <c r="BK51" s="5" t="s">
        <v>434</v>
      </c>
      <c r="BL51" s="4" t="s">
        <v>253</v>
      </c>
      <c r="BM51" s="4" t="s">
        <v>254</v>
      </c>
      <c r="BN51" s="4" t="s">
        <v>241</v>
      </c>
      <c r="BO51" s="6">
        <f>0</f>
        <v>0</v>
      </c>
      <c r="BP51" s="6">
        <f>0</f>
        <v>0</v>
      </c>
      <c r="BQ51" s="4" t="s">
        <v>255</v>
      </c>
      <c r="BR51" s="4" t="s">
        <v>256</v>
      </c>
      <c r="CF51" s="4" t="s">
        <v>241</v>
      </c>
      <c r="CG51" s="4" t="s">
        <v>241</v>
      </c>
      <c r="CK51" s="4" t="s">
        <v>257</v>
      </c>
      <c r="CL51" s="4" t="s">
        <v>258</v>
      </c>
      <c r="CM51" s="4" t="s">
        <v>241</v>
      </c>
      <c r="CO51" s="4" t="s">
        <v>259</v>
      </c>
      <c r="CP51" s="5" t="s">
        <v>260</v>
      </c>
      <c r="CQ51" s="4" t="s">
        <v>261</v>
      </c>
      <c r="CR51" s="4" t="s">
        <v>262</v>
      </c>
      <c r="CS51" s="4" t="s">
        <v>241</v>
      </c>
      <c r="CT51" s="4" t="s">
        <v>241</v>
      </c>
      <c r="CU51" s="4">
        <v>0</v>
      </c>
      <c r="CV51" s="4" t="s">
        <v>298</v>
      </c>
      <c r="CW51" s="4" t="s">
        <v>299</v>
      </c>
      <c r="CX51" s="4" t="s">
        <v>321</v>
      </c>
      <c r="CZ51" s="6">
        <f>589000</f>
        <v>589000</v>
      </c>
      <c r="DA51" s="6">
        <f>0</f>
        <v>0</v>
      </c>
      <c r="DC51" s="4" t="s">
        <v>241</v>
      </c>
      <c r="DD51" s="4" t="s">
        <v>241</v>
      </c>
      <c r="DF51" s="4" t="s">
        <v>241</v>
      </c>
      <c r="DI51" s="4" t="s">
        <v>241</v>
      </c>
      <c r="DJ51" s="4" t="s">
        <v>241</v>
      </c>
      <c r="DK51" s="4" t="s">
        <v>241</v>
      </c>
      <c r="DL51" s="4" t="s">
        <v>241</v>
      </c>
      <c r="DM51" s="4" t="s">
        <v>268</v>
      </c>
      <c r="DN51" s="4" t="s">
        <v>269</v>
      </c>
      <c r="DO51" s="6">
        <f>6.2</f>
        <v>6.2</v>
      </c>
      <c r="DP51" s="4" t="s">
        <v>241</v>
      </c>
      <c r="DQ51" s="4" t="s">
        <v>241</v>
      </c>
      <c r="DR51" s="4" t="s">
        <v>241</v>
      </c>
      <c r="DS51" s="4" t="s">
        <v>241</v>
      </c>
      <c r="DV51" s="4" t="s">
        <v>515</v>
      </c>
      <c r="DW51" s="4" t="s">
        <v>268</v>
      </c>
      <c r="HO51" s="4" t="s">
        <v>268</v>
      </c>
      <c r="HR51" s="4" t="s">
        <v>269</v>
      </c>
      <c r="HS51" s="4" t="s">
        <v>269</v>
      </c>
    </row>
    <row r="52" spans="1:227" x14ac:dyDescent="0.4">
      <c r="A52" s="4">
        <v>2</v>
      </c>
      <c r="B52" s="4" t="s">
        <v>239</v>
      </c>
      <c r="C52" s="4">
        <v>1129</v>
      </c>
      <c r="D52" s="4">
        <v>1</v>
      </c>
      <c r="E52" s="4">
        <v>1</v>
      </c>
      <c r="F52" s="4" t="s">
        <v>240</v>
      </c>
      <c r="G52" s="4" t="s">
        <v>241</v>
      </c>
      <c r="H52" s="4" t="s">
        <v>241</v>
      </c>
      <c r="I52" s="4" t="s">
        <v>563</v>
      </c>
      <c r="J52" s="4" t="s">
        <v>317</v>
      </c>
      <c r="K52" s="4" t="s">
        <v>249</v>
      </c>
      <c r="L52" s="4" t="s">
        <v>308</v>
      </c>
      <c r="M52" s="5" t="s">
        <v>564</v>
      </c>
      <c r="N52" s="4" t="s">
        <v>308</v>
      </c>
      <c r="O52" s="6">
        <f>6.2</f>
        <v>6.2</v>
      </c>
      <c r="P52" s="4" t="s">
        <v>267</v>
      </c>
      <c r="Q52" s="6">
        <f>1</f>
        <v>1</v>
      </c>
      <c r="R52" s="6">
        <f>589000</f>
        <v>589000</v>
      </c>
      <c r="S52" s="5" t="s">
        <v>243</v>
      </c>
      <c r="T52" s="4" t="s">
        <v>322</v>
      </c>
      <c r="U52" s="4" t="s">
        <v>266</v>
      </c>
      <c r="W52" s="6">
        <f>588999</f>
        <v>588999</v>
      </c>
      <c r="X52" s="4" t="s">
        <v>292</v>
      </c>
      <c r="Y52" s="4" t="s">
        <v>242</v>
      </c>
      <c r="Z52" s="4" t="s">
        <v>306</v>
      </c>
      <c r="AA52" s="4" t="s">
        <v>241</v>
      </c>
      <c r="AD52" s="4" t="s">
        <v>241</v>
      </c>
      <c r="AF52" s="5" t="s">
        <v>241</v>
      </c>
      <c r="AI52" s="5" t="s">
        <v>244</v>
      </c>
      <c r="AJ52" s="4" t="s">
        <v>245</v>
      </c>
      <c r="AK52" s="4" t="s">
        <v>246</v>
      </c>
      <c r="BA52" s="4" t="s">
        <v>247</v>
      </c>
      <c r="BB52" s="4" t="s">
        <v>241</v>
      </c>
      <c r="BC52" s="4" t="s">
        <v>248</v>
      </c>
      <c r="BD52" s="4" t="s">
        <v>241</v>
      </c>
      <c r="BE52" s="4" t="s">
        <v>250</v>
      </c>
      <c r="BF52" s="4" t="s">
        <v>241</v>
      </c>
      <c r="BH52" s="4" t="s">
        <v>340</v>
      </c>
      <c r="BJ52" s="4" t="s">
        <v>251</v>
      </c>
      <c r="BK52" s="5" t="s">
        <v>252</v>
      </c>
      <c r="BL52" s="4" t="s">
        <v>253</v>
      </c>
      <c r="BM52" s="4" t="s">
        <v>254</v>
      </c>
      <c r="BN52" s="4" t="s">
        <v>241</v>
      </c>
      <c r="BO52" s="6">
        <f>0</f>
        <v>0</v>
      </c>
      <c r="BP52" s="6">
        <f>0</f>
        <v>0</v>
      </c>
      <c r="BQ52" s="4" t="s">
        <v>255</v>
      </c>
      <c r="BR52" s="4" t="s">
        <v>256</v>
      </c>
      <c r="CF52" s="4" t="s">
        <v>241</v>
      </c>
      <c r="CG52" s="4" t="s">
        <v>241</v>
      </c>
      <c r="CK52" s="4" t="s">
        <v>257</v>
      </c>
      <c r="CL52" s="4" t="s">
        <v>258</v>
      </c>
      <c r="CM52" s="4" t="s">
        <v>241</v>
      </c>
      <c r="CO52" s="4" t="s">
        <v>259</v>
      </c>
      <c r="CP52" s="5" t="s">
        <v>260</v>
      </c>
      <c r="CQ52" s="4" t="s">
        <v>261</v>
      </c>
      <c r="CR52" s="4" t="s">
        <v>262</v>
      </c>
      <c r="CS52" s="4" t="s">
        <v>241</v>
      </c>
      <c r="CT52" s="4" t="s">
        <v>241</v>
      </c>
      <c r="CU52" s="4">
        <v>0</v>
      </c>
      <c r="CV52" s="4" t="s">
        <v>298</v>
      </c>
      <c r="CW52" s="4" t="s">
        <v>299</v>
      </c>
      <c r="CX52" s="4" t="s">
        <v>321</v>
      </c>
      <c r="CZ52" s="6">
        <f>589000</f>
        <v>589000</v>
      </c>
      <c r="DA52" s="6">
        <f>0</f>
        <v>0</v>
      </c>
      <c r="DC52" s="4" t="s">
        <v>241</v>
      </c>
      <c r="DD52" s="4" t="s">
        <v>241</v>
      </c>
      <c r="DF52" s="4" t="s">
        <v>241</v>
      </c>
      <c r="DI52" s="4" t="s">
        <v>241</v>
      </c>
      <c r="DJ52" s="4" t="s">
        <v>241</v>
      </c>
      <c r="DK52" s="4" t="s">
        <v>241</v>
      </c>
      <c r="DL52" s="4" t="s">
        <v>241</v>
      </c>
      <c r="DM52" s="4" t="s">
        <v>268</v>
      </c>
      <c r="DN52" s="4" t="s">
        <v>269</v>
      </c>
      <c r="DO52" s="6">
        <f>6.2</f>
        <v>6.2</v>
      </c>
      <c r="DP52" s="4" t="s">
        <v>241</v>
      </c>
      <c r="DQ52" s="4" t="s">
        <v>241</v>
      </c>
      <c r="DR52" s="4" t="s">
        <v>241</v>
      </c>
      <c r="DS52" s="4" t="s">
        <v>241</v>
      </c>
      <c r="DV52" s="4" t="s">
        <v>565</v>
      </c>
      <c r="DW52" s="4" t="s">
        <v>268</v>
      </c>
      <c r="HO52" s="4" t="s">
        <v>268</v>
      </c>
      <c r="HR52" s="4" t="s">
        <v>269</v>
      </c>
      <c r="HS52" s="4" t="s">
        <v>269</v>
      </c>
    </row>
    <row r="53" spans="1:227" x14ac:dyDescent="0.4">
      <c r="A53" s="4">
        <v>2</v>
      </c>
      <c r="B53" s="4" t="s">
        <v>239</v>
      </c>
      <c r="C53" s="4">
        <v>1130</v>
      </c>
      <c r="D53" s="4">
        <v>1</v>
      </c>
      <c r="E53" s="4">
        <v>1</v>
      </c>
      <c r="F53" s="4" t="s">
        <v>240</v>
      </c>
      <c r="G53" s="4" t="s">
        <v>241</v>
      </c>
      <c r="H53" s="4" t="s">
        <v>241</v>
      </c>
      <c r="I53" s="4" t="s">
        <v>516</v>
      </c>
      <c r="J53" s="4" t="s">
        <v>317</v>
      </c>
      <c r="K53" s="4" t="s">
        <v>249</v>
      </c>
      <c r="L53" s="4" t="s">
        <v>308</v>
      </c>
      <c r="M53" s="5" t="s">
        <v>517</v>
      </c>
      <c r="N53" s="4" t="s">
        <v>308</v>
      </c>
      <c r="O53" s="6">
        <f>6.2</f>
        <v>6.2</v>
      </c>
      <c r="P53" s="4" t="s">
        <v>267</v>
      </c>
      <c r="Q53" s="6">
        <f>1</f>
        <v>1</v>
      </c>
      <c r="R53" s="6">
        <f>589000</f>
        <v>589000</v>
      </c>
      <c r="S53" s="5" t="s">
        <v>243</v>
      </c>
      <c r="T53" s="4" t="s">
        <v>322</v>
      </c>
      <c r="U53" s="4" t="s">
        <v>266</v>
      </c>
      <c r="W53" s="6">
        <f>588999</f>
        <v>588999</v>
      </c>
      <c r="X53" s="4" t="s">
        <v>292</v>
      </c>
      <c r="Y53" s="4" t="s">
        <v>242</v>
      </c>
      <c r="Z53" s="4" t="s">
        <v>306</v>
      </c>
      <c r="AA53" s="4" t="s">
        <v>241</v>
      </c>
      <c r="AD53" s="4" t="s">
        <v>241</v>
      </c>
      <c r="AF53" s="5" t="s">
        <v>241</v>
      </c>
      <c r="AI53" s="5" t="s">
        <v>244</v>
      </c>
      <c r="AJ53" s="4" t="s">
        <v>245</v>
      </c>
      <c r="AK53" s="4" t="s">
        <v>246</v>
      </c>
      <c r="BA53" s="4" t="s">
        <v>247</v>
      </c>
      <c r="BB53" s="4" t="s">
        <v>241</v>
      </c>
      <c r="BC53" s="4" t="s">
        <v>248</v>
      </c>
      <c r="BD53" s="4" t="s">
        <v>241</v>
      </c>
      <c r="BE53" s="4" t="s">
        <v>250</v>
      </c>
      <c r="BF53" s="4" t="s">
        <v>241</v>
      </c>
      <c r="BJ53" s="4" t="s">
        <v>399</v>
      </c>
      <c r="BK53" s="5" t="s">
        <v>244</v>
      </c>
      <c r="BL53" s="4" t="s">
        <v>253</v>
      </c>
      <c r="BM53" s="4" t="s">
        <v>254</v>
      </c>
      <c r="BN53" s="4" t="s">
        <v>241</v>
      </c>
      <c r="BO53" s="6">
        <f>0</f>
        <v>0</v>
      </c>
      <c r="BP53" s="6">
        <f>0</f>
        <v>0</v>
      </c>
      <c r="BQ53" s="4" t="s">
        <v>255</v>
      </c>
      <c r="BR53" s="4" t="s">
        <v>256</v>
      </c>
      <c r="CF53" s="4" t="s">
        <v>241</v>
      </c>
      <c r="CG53" s="4" t="s">
        <v>241</v>
      </c>
      <c r="CK53" s="4" t="s">
        <v>257</v>
      </c>
      <c r="CL53" s="4" t="s">
        <v>258</v>
      </c>
      <c r="CM53" s="4" t="s">
        <v>241</v>
      </c>
      <c r="CO53" s="4" t="s">
        <v>259</v>
      </c>
      <c r="CP53" s="5" t="s">
        <v>260</v>
      </c>
      <c r="CQ53" s="4" t="s">
        <v>261</v>
      </c>
      <c r="CR53" s="4" t="s">
        <v>262</v>
      </c>
      <c r="CS53" s="4" t="s">
        <v>241</v>
      </c>
      <c r="CT53" s="4" t="s">
        <v>241</v>
      </c>
      <c r="CU53" s="4">
        <v>0</v>
      </c>
      <c r="CV53" s="4" t="s">
        <v>298</v>
      </c>
      <c r="CW53" s="4" t="s">
        <v>299</v>
      </c>
      <c r="CX53" s="4" t="s">
        <v>321</v>
      </c>
      <c r="CZ53" s="6">
        <f>589000</f>
        <v>589000</v>
      </c>
      <c r="DA53" s="6">
        <f>0</f>
        <v>0</v>
      </c>
      <c r="DC53" s="4" t="s">
        <v>241</v>
      </c>
      <c r="DD53" s="4" t="s">
        <v>241</v>
      </c>
      <c r="DF53" s="4" t="s">
        <v>241</v>
      </c>
      <c r="DI53" s="4" t="s">
        <v>241</v>
      </c>
      <c r="DJ53" s="4" t="s">
        <v>241</v>
      </c>
      <c r="DK53" s="4" t="s">
        <v>241</v>
      </c>
      <c r="DL53" s="4" t="s">
        <v>241</v>
      </c>
      <c r="DM53" s="4" t="s">
        <v>268</v>
      </c>
      <c r="DN53" s="4" t="s">
        <v>269</v>
      </c>
      <c r="DO53" s="6">
        <f>6.2</f>
        <v>6.2</v>
      </c>
      <c r="DP53" s="4" t="s">
        <v>241</v>
      </c>
      <c r="DQ53" s="4" t="s">
        <v>241</v>
      </c>
      <c r="DR53" s="4" t="s">
        <v>241</v>
      </c>
      <c r="DS53" s="4" t="s">
        <v>241</v>
      </c>
      <c r="DV53" s="4" t="s">
        <v>518</v>
      </c>
      <c r="DW53" s="4" t="s">
        <v>268</v>
      </c>
      <c r="HO53" s="4" t="s">
        <v>268</v>
      </c>
      <c r="HR53" s="4" t="s">
        <v>269</v>
      </c>
      <c r="HS53" s="4" t="s">
        <v>269</v>
      </c>
    </row>
    <row r="54" spans="1:227" x14ac:dyDescent="0.4">
      <c r="A54" s="4">
        <v>2</v>
      </c>
      <c r="B54" s="4" t="s">
        <v>239</v>
      </c>
      <c r="C54" s="4">
        <v>1131</v>
      </c>
      <c r="D54" s="4">
        <v>1</v>
      </c>
      <c r="E54" s="4">
        <v>1</v>
      </c>
      <c r="F54" s="4" t="s">
        <v>240</v>
      </c>
      <c r="G54" s="4" t="s">
        <v>241</v>
      </c>
      <c r="H54" s="4" t="s">
        <v>241</v>
      </c>
      <c r="I54" s="4" t="s">
        <v>519</v>
      </c>
      <c r="J54" s="4" t="s">
        <v>317</v>
      </c>
      <c r="K54" s="4" t="s">
        <v>249</v>
      </c>
      <c r="L54" s="4" t="s">
        <v>308</v>
      </c>
      <c r="M54" s="5" t="s">
        <v>520</v>
      </c>
      <c r="N54" s="4" t="s">
        <v>308</v>
      </c>
      <c r="O54" s="6">
        <f>6.2</f>
        <v>6.2</v>
      </c>
      <c r="P54" s="4" t="s">
        <v>267</v>
      </c>
      <c r="Q54" s="6">
        <f>1</f>
        <v>1</v>
      </c>
      <c r="R54" s="6">
        <f>589000</f>
        <v>589000</v>
      </c>
      <c r="S54" s="5" t="s">
        <v>243</v>
      </c>
      <c r="T54" s="4" t="s">
        <v>322</v>
      </c>
      <c r="U54" s="4" t="s">
        <v>266</v>
      </c>
      <c r="W54" s="6">
        <f>588999</f>
        <v>588999</v>
      </c>
      <c r="X54" s="4" t="s">
        <v>292</v>
      </c>
      <c r="Y54" s="4" t="s">
        <v>242</v>
      </c>
      <c r="Z54" s="4" t="s">
        <v>306</v>
      </c>
      <c r="AA54" s="4" t="s">
        <v>241</v>
      </c>
      <c r="AD54" s="4" t="s">
        <v>241</v>
      </c>
      <c r="AF54" s="5" t="s">
        <v>241</v>
      </c>
      <c r="AI54" s="5" t="s">
        <v>244</v>
      </c>
      <c r="AJ54" s="4" t="s">
        <v>245</v>
      </c>
      <c r="AK54" s="4" t="s">
        <v>246</v>
      </c>
      <c r="BA54" s="4" t="s">
        <v>247</v>
      </c>
      <c r="BB54" s="4" t="s">
        <v>241</v>
      </c>
      <c r="BC54" s="4" t="s">
        <v>248</v>
      </c>
      <c r="BD54" s="4" t="s">
        <v>241</v>
      </c>
      <c r="BE54" s="4" t="s">
        <v>250</v>
      </c>
      <c r="BF54" s="4" t="s">
        <v>241</v>
      </c>
      <c r="BJ54" s="4" t="s">
        <v>427</v>
      </c>
      <c r="BK54" s="5" t="s">
        <v>428</v>
      </c>
      <c r="BL54" s="4" t="s">
        <v>253</v>
      </c>
      <c r="BM54" s="4" t="s">
        <v>254</v>
      </c>
      <c r="BN54" s="4" t="s">
        <v>241</v>
      </c>
      <c r="BO54" s="6">
        <f>0</f>
        <v>0</v>
      </c>
      <c r="BP54" s="6">
        <f>0</f>
        <v>0</v>
      </c>
      <c r="BQ54" s="4" t="s">
        <v>255</v>
      </c>
      <c r="BR54" s="4" t="s">
        <v>256</v>
      </c>
      <c r="CF54" s="4" t="s">
        <v>241</v>
      </c>
      <c r="CG54" s="4" t="s">
        <v>241</v>
      </c>
      <c r="CK54" s="4" t="s">
        <v>257</v>
      </c>
      <c r="CL54" s="4" t="s">
        <v>258</v>
      </c>
      <c r="CM54" s="4" t="s">
        <v>241</v>
      </c>
      <c r="CO54" s="4" t="s">
        <v>259</v>
      </c>
      <c r="CP54" s="5" t="s">
        <v>260</v>
      </c>
      <c r="CQ54" s="4" t="s">
        <v>261</v>
      </c>
      <c r="CR54" s="4" t="s">
        <v>262</v>
      </c>
      <c r="CS54" s="4" t="s">
        <v>241</v>
      </c>
      <c r="CT54" s="4" t="s">
        <v>241</v>
      </c>
      <c r="CU54" s="4">
        <v>0</v>
      </c>
      <c r="CV54" s="4" t="s">
        <v>298</v>
      </c>
      <c r="CW54" s="4" t="s">
        <v>299</v>
      </c>
      <c r="CX54" s="4" t="s">
        <v>321</v>
      </c>
      <c r="CZ54" s="6">
        <f>589000</f>
        <v>589000</v>
      </c>
      <c r="DA54" s="6">
        <f>0</f>
        <v>0</v>
      </c>
      <c r="DC54" s="4" t="s">
        <v>241</v>
      </c>
      <c r="DD54" s="4" t="s">
        <v>241</v>
      </c>
      <c r="DF54" s="4" t="s">
        <v>241</v>
      </c>
      <c r="DI54" s="4" t="s">
        <v>241</v>
      </c>
      <c r="DJ54" s="4" t="s">
        <v>241</v>
      </c>
      <c r="DK54" s="4" t="s">
        <v>241</v>
      </c>
      <c r="DL54" s="4" t="s">
        <v>241</v>
      </c>
      <c r="DM54" s="4" t="s">
        <v>268</v>
      </c>
      <c r="DN54" s="4" t="s">
        <v>269</v>
      </c>
      <c r="DO54" s="6">
        <f>6.2</f>
        <v>6.2</v>
      </c>
      <c r="DP54" s="4" t="s">
        <v>241</v>
      </c>
      <c r="DQ54" s="4" t="s">
        <v>241</v>
      </c>
      <c r="DR54" s="4" t="s">
        <v>241</v>
      </c>
      <c r="DS54" s="4" t="s">
        <v>241</v>
      </c>
      <c r="DV54" s="4" t="s">
        <v>521</v>
      </c>
      <c r="DW54" s="4" t="s">
        <v>268</v>
      </c>
      <c r="HO54" s="4" t="s">
        <v>268</v>
      </c>
      <c r="HR54" s="4" t="s">
        <v>269</v>
      </c>
      <c r="HS54" s="4" t="s">
        <v>269</v>
      </c>
    </row>
    <row r="55" spans="1:227" x14ac:dyDescent="0.4">
      <c r="A55" s="4">
        <v>2</v>
      </c>
      <c r="B55" s="4" t="s">
        <v>239</v>
      </c>
      <c r="C55" s="4">
        <v>1132</v>
      </c>
      <c r="D55" s="4">
        <v>1</v>
      </c>
      <c r="E55" s="4">
        <v>1</v>
      </c>
      <c r="F55" s="4" t="s">
        <v>240</v>
      </c>
      <c r="G55" s="4" t="s">
        <v>241</v>
      </c>
      <c r="H55" s="4" t="s">
        <v>241</v>
      </c>
      <c r="I55" s="4" t="s">
        <v>522</v>
      </c>
      <c r="J55" s="4" t="s">
        <v>317</v>
      </c>
      <c r="K55" s="4" t="s">
        <v>249</v>
      </c>
      <c r="L55" s="4" t="s">
        <v>308</v>
      </c>
      <c r="M55" s="5" t="s">
        <v>523</v>
      </c>
      <c r="N55" s="4" t="s">
        <v>308</v>
      </c>
      <c r="O55" s="6">
        <f>3.31</f>
        <v>3.31</v>
      </c>
      <c r="P55" s="4" t="s">
        <v>267</v>
      </c>
      <c r="Q55" s="6">
        <f>1</f>
        <v>1</v>
      </c>
      <c r="R55" s="6">
        <f>2075370</f>
        <v>2075370</v>
      </c>
      <c r="S55" s="5" t="s">
        <v>360</v>
      </c>
      <c r="T55" s="4" t="s">
        <v>322</v>
      </c>
      <c r="U55" s="4" t="s">
        <v>408</v>
      </c>
      <c r="W55" s="6">
        <f>2075369</f>
        <v>2075369</v>
      </c>
      <c r="X55" s="4" t="s">
        <v>292</v>
      </c>
      <c r="Y55" s="4" t="s">
        <v>242</v>
      </c>
      <c r="Z55" s="4" t="s">
        <v>306</v>
      </c>
      <c r="AA55" s="4" t="s">
        <v>241</v>
      </c>
      <c r="AD55" s="4" t="s">
        <v>241</v>
      </c>
      <c r="AF55" s="5" t="s">
        <v>241</v>
      </c>
      <c r="AI55" s="5" t="s">
        <v>244</v>
      </c>
      <c r="AJ55" s="4" t="s">
        <v>245</v>
      </c>
      <c r="AK55" s="4" t="s">
        <v>246</v>
      </c>
      <c r="BA55" s="4" t="s">
        <v>247</v>
      </c>
      <c r="BB55" s="4" t="s">
        <v>241</v>
      </c>
      <c r="BC55" s="4" t="s">
        <v>248</v>
      </c>
      <c r="BD55" s="4" t="s">
        <v>241</v>
      </c>
      <c r="BE55" s="4" t="s">
        <v>250</v>
      </c>
      <c r="BF55" s="4" t="s">
        <v>241</v>
      </c>
      <c r="BJ55" s="4" t="s">
        <v>433</v>
      </c>
      <c r="BK55" s="5" t="s">
        <v>434</v>
      </c>
      <c r="BL55" s="4" t="s">
        <v>253</v>
      </c>
      <c r="BM55" s="4" t="s">
        <v>254</v>
      </c>
      <c r="BN55" s="4" t="s">
        <v>241</v>
      </c>
      <c r="BO55" s="6">
        <f>0</f>
        <v>0</v>
      </c>
      <c r="BP55" s="6">
        <f>0</f>
        <v>0</v>
      </c>
      <c r="BQ55" s="4" t="s">
        <v>255</v>
      </c>
      <c r="BR55" s="4" t="s">
        <v>256</v>
      </c>
      <c r="CF55" s="4" t="s">
        <v>241</v>
      </c>
      <c r="CG55" s="4" t="s">
        <v>241</v>
      </c>
      <c r="CK55" s="4" t="s">
        <v>276</v>
      </c>
      <c r="CL55" s="4" t="s">
        <v>258</v>
      </c>
      <c r="CM55" s="4" t="s">
        <v>241</v>
      </c>
      <c r="CO55" s="4" t="s">
        <v>362</v>
      </c>
      <c r="CP55" s="5" t="s">
        <v>260</v>
      </c>
      <c r="CQ55" s="4" t="s">
        <v>261</v>
      </c>
      <c r="CR55" s="4" t="s">
        <v>262</v>
      </c>
      <c r="CS55" s="4" t="s">
        <v>241</v>
      </c>
      <c r="CT55" s="4" t="s">
        <v>241</v>
      </c>
      <c r="CU55" s="4">
        <v>0</v>
      </c>
      <c r="CV55" s="4" t="s">
        <v>298</v>
      </c>
      <c r="CW55" s="4" t="s">
        <v>299</v>
      </c>
      <c r="CX55" s="4" t="s">
        <v>321</v>
      </c>
      <c r="CZ55" s="6">
        <f>2075370</f>
        <v>2075370</v>
      </c>
      <c r="DA55" s="6">
        <f>0</f>
        <v>0</v>
      </c>
      <c r="DC55" s="4" t="s">
        <v>241</v>
      </c>
      <c r="DD55" s="4" t="s">
        <v>241</v>
      </c>
      <c r="DF55" s="4" t="s">
        <v>241</v>
      </c>
      <c r="DI55" s="4" t="s">
        <v>241</v>
      </c>
      <c r="DJ55" s="4" t="s">
        <v>241</v>
      </c>
      <c r="DK55" s="4" t="s">
        <v>241</v>
      </c>
      <c r="DL55" s="4" t="s">
        <v>241</v>
      </c>
      <c r="DM55" s="4" t="s">
        <v>268</v>
      </c>
      <c r="DN55" s="4" t="s">
        <v>269</v>
      </c>
      <c r="DO55" s="6">
        <f>3.31</f>
        <v>3.31</v>
      </c>
      <c r="DP55" s="4" t="s">
        <v>241</v>
      </c>
      <c r="DQ55" s="4" t="s">
        <v>241</v>
      </c>
      <c r="DR55" s="4" t="s">
        <v>241</v>
      </c>
      <c r="DS55" s="4" t="s">
        <v>241</v>
      </c>
      <c r="DV55" s="4" t="s">
        <v>524</v>
      </c>
      <c r="DW55" s="4" t="s">
        <v>268</v>
      </c>
      <c r="HO55" s="4" t="s">
        <v>268</v>
      </c>
      <c r="HR55" s="4" t="s">
        <v>269</v>
      </c>
      <c r="HS55" s="4" t="s">
        <v>269</v>
      </c>
    </row>
    <row r="56" spans="1:227" x14ac:dyDescent="0.4">
      <c r="A56" s="4">
        <v>2</v>
      </c>
      <c r="B56" s="4" t="s">
        <v>239</v>
      </c>
      <c r="C56" s="4">
        <v>1133</v>
      </c>
      <c r="D56" s="4">
        <v>1</v>
      </c>
      <c r="E56" s="4">
        <v>1</v>
      </c>
      <c r="F56" s="4" t="s">
        <v>240</v>
      </c>
      <c r="G56" s="4" t="s">
        <v>241</v>
      </c>
      <c r="H56" s="4" t="s">
        <v>241</v>
      </c>
      <c r="I56" s="4" t="s">
        <v>778</v>
      </c>
      <c r="J56" s="4" t="s">
        <v>317</v>
      </c>
      <c r="K56" s="4" t="s">
        <v>249</v>
      </c>
      <c r="L56" s="4" t="s">
        <v>308</v>
      </c>
      <c r="M56" s="5" t="s">
        <v>779</v>
      </c>
      <c r="N56" s="4" t="s">
        <v>308</v>
      </c>
      <c r="O56" s="6">
        <f>6.2</f>
        <v>6.2</v>
      </c>
      <c r="P56" s="4" t="s">
        <v>267</v>
      </c>
      <c r="Q56" s="6">
        <f>1</f>
        <v>1</v>
      </c>
      <c r="R56" s="6">
        <f>911400</f>
        <v>911400</v>
      </c>
      <c r="S56" s="5" t="s">
        <v>710</v>
      </c>
      <c r="T56" s="4" t="s">
        <v>322</v>
      </c>
      <c r="U56" s="4" t="s">
        <v>322</v>
      </c>
      <c r="W56" s="6">
        <f>911399</f>
        <v>911399</v>
      </c>
      <c r="X56" s="4" t="s">
        <v>292</v>
      </c>
      <c r="Y56" s="4" t="s">
        <v>242</v>
      </c>
      <c r="Z56" s="4" t="s">
        <v>306</v>
      </c>
      <c r="AA56" s="4" t="s">
        <v>241</v>
      </c>
      <c r="AD56" s="4" t="s">
        <v>241</v>
      </c>
      <c r="AF56" s="5" t="s">
        <v>241</v>
      </c>
      <c r="AI56" s="5" t="s">
        <v>244</v>
      </c>
      <c r="AJ56" s="4" t="s">
        <v>245</v>
      </c>
      <c r="AK56" s="4" t="s">
        <v>246</v>
      </c>
      <c r="BA56" s="4" t="s">
        <v>247</v>
      </c>
      <c r="BB56" s="4" t="s">
        <v>241</v>
      </c>
      <c r="BC56" s="4" t="s">
        <v>248</v>
      </c>
      <c r="BD56" s="4" t="s">
        <v>241</v>
      </c>
      <c r="BE56" s="4" t="s">
        <v>250</v>
      </c>
      <c r="BF56" s="4" t="s">
        <v>241</v>
      </c>
      <c r="BH56" s="4" t="s">
        <v>340</v>
      </c>
      <c r="BJ56" s="4" t="s">
        <v>251</v>
      </c>
      <c r="BK56" s="5" t="s">
        <v>252</v>
      </c>
      <c r="BL56" s="4" t="s">
        <v>253</v>
      </c>
      <c r="BM56" s="4" t="s">
        <v>275</v>
      </c>
      <c r="BN56" s="4" t="s">
        <v>241</v>
      </c>
      <c r="BO56" s="6">
        <f>0</f>
        <v>0</v>
      </c>
      <c r="BP56" s="6">
        <f>0</f>
        <v>0</v>
      </c>
      <c r="BQ56" s="4" t="s">
        <v>255</v>
      </c>
      <c r="BR56" s="4" t="s">
        <v>256</v>
      </c>
      <c r="CF56" s="4" t="s">
        <v>241</v>
      </c>
      <c r="CG56" s="4" t="s">
        <v>241</v>
      </c>
      <c r="CK56" s="4" t="s">
        <v>276</v>
      </c>
      <c r="CL56" s="4" t="s">
        <v>258</v>
      </c>
      <c r="CM56" s="4" t="s">
        <v>241</v>
      </c>
      <c r="CO56" s="4" t="s">
        <v>711</v>
      </c>
      <c r="CP56" s="5" t="s">
        <v>260</v>
      </c>
      <c r="CQ56" s="4" t="s">
        <v>261</v>
      </c>
      <c r="CR56" s="4" t="s">
        <v>262</v>
      </c>
      <c r="CS56" s="4" t="s">
        <v>241</v>
      </c>
      <c r="CT56" s="4" t="s">
        <v>241</v>
      </c>
      <c r="CU56" s="4">
        <v>0</v>
      </c>
      <c r="CV56" s="4" t="s">
        <v>298</v>
      </c>
      <c r="CW56" s="4" t="s">
        <v>299</v>
      </c>
      <c r="CX56" s="4" t="s">
        <v>321</v>
      </c>
      <c r="CZ56" s="6">
        <f>911400</f>
        <v>911400</v>
      </c>
      <c r="DA56" s="6">
        <f>0</f>
        <v>0</v>
      </c>
      <c r="DC56" s="4" t="s">
        <v>241</v>
      </c>
      <c r="DD56" s="4" t="s">
        <v>241</v>
      </c>
      <c r="DF56" s="4" t="s">
        <v>241</v>
      </c>
      <c r="DI56" s="4" t="s">
        <v>241</v>
      </c>
      <c r="DJ56" s="4" t="s">
        <v>241</v>
      </c>
      <c r="DK56" s="4" t="s">
        <v>241</v>
      </c>
      <c r="DL56" s="4" t="s">
        <v>241</v>
      </c>
      <c r="DM56" s="4" t="s">
        <v>268</v>
      </c>
      <c r="DN56" s="4" t="s">
        <v>269</v>
      </c>
      <c r="DO56" s="6">
        <f>6.2</f>
        <v>6.2</v>
      </c>
      <c r="DP56" s="4" t="s">
        <v>241</v>
      </c>
      <c r="DQ56" s="4" t="s">
        <v>241</v>
      </c>
      <c r="DR56" s="4" t="s">
        <v>241</v>
      </c>
      <c r="DS56" s="4" t="s">
        <v>241</v>
      </c>
      <c r="DV56" s="4" t="s">
        <v>780</v>
      </c>
      <c r="DW56" s="4" t="s">
        <v>268</v>
      </c>
      <c r="HO56" s="4" t="s">
        <v>310</v>
      </c>
      <c r="HR56" s="4" t="s">
        <v>269</v>
      </c>
      <c r="HS56" s="4" t="s">
        <v>269</v>
      </c>
    </row>
    <row r="57" spans="1:227" x14ac:dyDescent="0.4">
      <c r="A57" s="4">
        <v>2</v>
      </c>
      <c r="B57" s="4" t="s">
        <v>239</v>
      </c>
      <c r="C57" s="4">
        <v>1135</v>
      </c>
      <c r="D57" s="4">
        <v>1</v>
      </c>
      <c r="E57" s="4">
        <v>1</v>
      </c>
      <c r="F57" s="4" t="s">
        <v>240</v>
      </c>
      <c r="G57" s="4" t="s">
        <v>241</v>
      </c>
      <c r="H57" s="4" t="s">
        <v>241</v>
      </c>
      <c r="I57" s="4" t="s">
        <v>525</v>
      </c>
      <c r="J57" s="4" t="s">
        <v>526</v>
      </c>
      <c r="K57" s="4" t="s">
        <v>249</v>
      </c>
      <c r="L57" s="4" t="s">
        <v>706</v>
      </c>
      <c r="M57" s="5" t="s">
        <v>528</v>
      </c>
      <c r="N57" s="4" t="s">
        <v>706</v>
      </c>
      <c r="O57" s="6">
        <f>137.46</f>
        <v>137.46</v>
      </c>
      <c r="P57" s="4" t="s">
        <v>267</v>
      </c>
      <c r="Q57" s="6">
        <f>1</f>
        <v>1</v>
      </c>
      <c r="R57" s="6">
        <f>188000</f>
        <v>188000</v>
      </c>
      <c r="S57" s="5" t="s">
        <v>701</v>
      </c>
      <c r="T57" s="4" t="s">
        <v>265</v>
      </c>
      <c r="U57" s="4" t="s">
        <v>356</v>
      </c>
      <c r="W57" s="6">
        <f>187999</f>
        <v>187999</v>
      </c>
      <c r="X57" s="4" t="s">
        <v>292</v>
      </c>
      <c r="Y57" s="4" t="s">
        <v>242</v>
      </c>
      <c r="Z57" s="4" t="s">
        <v>306</v>
      </c>
      <c r="AA57" s="4" t="s">
        <v>241</v>
      </c>
      <c r="AD57" s="4" t="s">
        <v>241</v>
      </c>
      <c r="AF57" s="5" t="s">
        <v>241</v>
      </c>
      <c r="AI57" s="5" t="s">
        <v>244</v>
      </c>
      <c r="AJ57" s="4" t="s">
        <v>245</v>
      </c>
      <c r="AK57" s="4" t="s">
        <v>246</v>
      </c>
      <c r="BA57" s="4" t="s">
        <v>247</v>
      </c>
      <c r="BB57" s="4" t="s">
        <v>241</v>
      </c>
      <c r="BC57" s="4" t="s">
        <v>248</v>
      </c>
      <c r="BD57" s="4" t="s">
        <v>241</v>
      </c>
      <c r="BE57" s="4" t="s">
        <v>250</v>
      </c>
      <c r="BF57" s="4" t="s">
        <v>241</v>
      </c>
      <c r="BJ57" s="4" t="s">
        <v>399</v>
      </c>
      <c r="BK57" s="5" t="s">
        <v>244</v>
      </c>
      <c r="BL57" s="4" t="s">
        <v>253</v>
      </c>
      <c r="BM57" s="4" t="s">
        <v>254</v>
      </c>
      <c r="BN57" s="4" t="s">
        <v>241</v>
      </c>
      <c r="BO57" s="6">
        <f>0</f>
        <v>0</v>
      </c>
      <c r="BP57" s="6">
        <f>0</f>
        <v>0</v>
      </c>
      <c r="BQ57" s="4" t="s">
        <v>255</v>
      </c>
      <c r="BR57" s="4" t="s">
        <v>256</v>
      </c>
      <c r="CF57" s="4" t="s">
        <v>241</v>
      </c>
      <c r="CG57" s="4" t="s">
        <v>241</v>
      </c>
      <c r="CK57" s="4" t="s">
        <v>276</v>
      </c>
      <c r="CL57" s="4" t="s">
        <v>258</v>
      </c>
      <c r="CM57" s="4" t="s">
        <v>241</v>
      </c>
      <c r="CO57" s="4" t="s">
        <v>688</v>
      </c>
      <c r="CP57" s="5" t="s">
        <v>260</v>
      </c>
      <c r="CQ57" s="4" t="s">
        <v>261</v>
      </c>
      <c r="CR57" s="4" t="s">
        <v>262</v>
      </c>
      <c r="CS57" s="4" t="s">
        <v>241</v>
      </c>
      <c r="CT57" s="4" t="s">
        <v>241</v>
      </c>
      <c r="CU57" s="4">
        <v>0</v>
      </c>
      <c r="CV57" s="4" t="s">
        <v>298</v>
      </c>
      <c r="CW57" s="4" t="s">
        <v>705</v>
      </c>
      <c r="CX57" s="4" t="s">
        <v>321</v>
      </c>
      <c r="CZ57" s="6">
        <f>188000</f>
        <v>188000</v>
      </c>
      <c r="DA57" s="6">
        <f>0</f>
        <v>0</v>
      </c>
      <c r="DC57" s="4" t="s">
        <v>241</v>
      </c>
      <c r="DD57" s="4" t="s">
        <v>241</v>
      </c>
      <c r="DF57" s="4" t="s">
        <v>241</v>
      </c>
      <c r="DI57" s="4" t="s">
        <v>241</v>
      </c>
      <c r="DJ57" s="4" t="s">
        <v>241</v>
      </c>
      <c r="DK57" s="4" t="s">
        <v>241</v>
      </c>
      <c r="DL57" s="4" t="s">
        <v>241</v>
      </c>
      <c r="DM57" s="4" t="s">
        <v>268</v>
      </c>
      <c r="DN57" s="4" t="s">
        <v>269</v>
      </c>
      <c r="DO57" s="6">
        <f>137.46</f>
        <v>137.46</v>
      </c>
      <c r="DP57" s="4" t="s">
        <v>241</v>
      </c>
      <c r="DQ57" s="4" t="s">
        <v>241</v>
      </c>
      <c r="DR57" s="4" t="s">
        <v>241</v>
      </c>
      <c r="DS57" s="4" t="s">
        <v>241</v>
      </c>
      <c r="DV57" s="4" t="s">
        <v>531</v>
      </c>
      <c r="DW57" s="4" t="s">
        <v>268</v>
      </c>
      <c r="HO57" s="4" t="s">
        <v>268</v>
      </c>
      <c r="HR57" s="4" t="s">
        <v>269</v>
      </c>
      <c r="HS57" s="4" t="s">
        <v>269</v>
      </c>
    </row>
    <row r="58" spans="1:227" x14ac:dyDescent="0.4">
      <c r="A58" s="4">
        <v>2</v>
      </c>
      <c r="B58" s="4" t="s">
        <v>239</v>
      </c>
      <c r="C58" s="4">
        <v>1136</v>
      </c>
      <c r="D58" s="4">
        <v>1</v>
      </c>
      <c r="E58" s="4">
        <v>1</v>
      </c>
      <c r="F58" s="4" t="s">
        <v>240</v>
      </c>
      <c r="G58" s="4" t="s">
        <v>241</v>
      </c>
      <c r="H58" s="4" t="s">
        <v>241</v>
      </c>
      <c r="I58" s="4" t="s">
        <v>525</v>
      </c>
      <c r="J58" s="4" t="s">
        <v>526</v>
      </c>
      <c r="K58" s="4" t="s">
        <v>249</v>
      </c>
      <c r="L58" s="4" t="s">
        <v>308</v>
      </c>
      <c r="M58" s="5" t="s">
        <v>528</v>
      </c>
      <c r="N58" s="4" t="s">
        <v>308</v>
      </c>
      <c r="O58" s="6">
        <f>15.43</f>
        <v>15.43</v>
      </c>
      <c r="P58" s="4" t="s">
        <v>267</v>
      </c>
      <c r="Q58" s="6">
        <f>1</f>
        <v>1</v>
      </c>
      <c r="R58" s="6">
        <f>5508510</f>
        <v>5508510</v>
      </c>
      <c r="S58" s="5" t="s">
        <v>527</v>
      </c>
      <c r="T58" s="4" t="s">
        <v>322</v>
      </c>
      <c r="U58" s="4" t="s">
        <v>530</v>
      </c>
      <c r="W58" s="6">
        <f>5508509</f>
        <v>5508509</v>
      </c>
      <c r="X58" s="4" t="s">
        <v>292</v>
      </c>
      <c r="Y58" s="4" t="s">
        <v>242</v>
      </c>
      <c r="Z58" s="4" t="s">
        <v>306</v>
      </c>
      <c r="AA58" s="4" t="s">
        <v>241</v>
      </c>
      <c r="AD58" s="4" t="s">
        <v>241</v>
      </c>
      <c r="AF58" s="5" t="s">
        <v>241</v>
      </c>
      <c r="AI58" s="5" t="s">
        <v>244</v>
      </c>
      <c r="AJ58" s="4" t="s">
        <v>245</v>
      </c>
      <c r="AK58" s="4" t="s">
        <v>246</v>
      </c>
      <c r="BA58" s="4" t="s">
        <v>247</v>
      </c>
      <c r="BB58" s="4" t="s">
        <v>241</v>
      </c>
      <c r="BC58" s="4" t="s">
        <v>248</v>
      </c>
      <c r="BD58" s="4" t="s">
        <v>241</v>
      </c>
      <c r="BE58" s="4" t="s">
        <v>250</v>
      </c>
      <c r="BF58" s="4" t="s">
        <v>241</v>
      </c>
      <c r="BJ58" s="4" t="s">
        <v>399</v>
      </c>
      <c r="BK58" s="5" t="s">
        <v>244</v>
      </c>
      <c r="BL58" s="4" t="s">
        <v>253</v>
      </c>
      <c r="BM58" s="4" t="s">
        <v>254</v>
      </c>
      <c r="BN58" s="4" t="s">
        <v>241</v>
      </c>
      <c r="BO58" s="6">
        <f>0</f>
        <v>0</v>
      </c>
      <c r="BP58" s="6">
        <f>0</f>
        <v>0</v>
      </c>
      <c r="BQ58" s="4" t="s">
        <v>255</v>
      </c>
      <c r="BR58" s="4" t="s">
        <v>256</v>
      </c>
      <c r="CF58" s="4" t="s">
        <v>241</v>
      </c>
      <c r="CG58" s="4" t="s">
        <v>241</v>
      </c>
      <c r="CK58" s="4" t="s">
        <v>276</v>
      </c>
      <c r="CL58" s="4" t="s">
        <v>258</v>
      </c>
      <c r="CM58" s="4" t="s">
        <v>241</v>
      </c>
      <c r="CO58" s="4" t="s">
        <v>529</v>
      </c>
      <c r="CP58" s="5" t="s">
        <v>260</v>
      </c>
      <c r="CQ58" s="4" t="s">
        <v>261</v>
      </c>
      <c r="CR58" s="4" t="s">
        <v>262</v>
      </c>
      <c r="CS58" s="4" t="s">
        <v>241</v>
      </c>
      <c r="CT58" s="4" t="s">
        <v>241</v>
      </c>
      <c r="CU58" s="4">
        <v>0</v>
      </c>
      <c r="CV58" s="4" t="s">
        <v>298</v>
      </c>
      <c r="CW58" s="4" t="s">
        <v>299</v>
      </c>
      <c r="CX58" s="4" t="s">
        <v>321</v>
      </c>
      <c r="CZ58" s="6">
        <f>5508510</f>
        <v>5508510</v>
      </c>
      <c r="DA58" s="6">
        <f>0</f>
        <v>0</v>
      </c>
      <c r="DC58" s="4" t="s">
        <v>241</v>
      </c>
      <c r="DD58" s="4" t="s">
        <v>241</v>
      </c>
      <c r="DF58" s="4" t="s">
        <v>241</v>
      </c>
      <c r="DI58" s="4" t="s">
        <v>241</v>
      </c>
      <c r="DJ58" s="4" t="s">
        <v>241</v>
      </c>
      <c r="DK58" s="4" t="s">
        <v>241</v>
      </c>
      <c r="DL58" s="4" t="s">
        <v>241</v>
      </c>
      <c r="DM58" s="4" t="s">
        <v>268</v>
      </c>
      <c r="DN58" s="4" t="s">
        <v>269</v>
      </c>
      <c r="DO58" s="6">
        <f>15.43</f>
        <v>15.43</v>
      </c>
      <c r="DP58" s="4" t="s">
        <v>241</v>
      </c>
      <c r="DQ58" s="4" t="s">
        <v>241</v>
      </c>
      <c r="DR58" s="4" t="s">
        <v>241</v>
      </c>
      <c r="DS58" s="4" t="s">
        <v>241</v>
      </c>
      <c r="DV58" s="4" t="s">
        <v>531</v>
      </c>
      <c r="DW58" s="4" t="s">
        <v>289</v>
      </c>
      <c r="HO58" s="4" t="s">
        <v>268</v>
      </c>
      <c r="HR58" s="4" t="s">
        <v>269</v>
      </c>
      <c r="HS58" s="4" t="s">
        <v>269</v>
      </c>
    </row>
    <row r="59" spans="1:227" x14ac:dyDescent="0.4">
      <c r="A59" s="4">
        <v>2</v>
      </c>
      <c r="B59" s="4" t="s">
        <v>239</v>
      </c>
      <c r="C59" s="4">
        <v>1137</v>
      </c>
      <c r="D59" s="4">
        <v>1</v>
      </c>
      <c r="E59" s="4">
        <v>1</v>
      </c>
      <c r="F59" s="4" t="s">
        <v>240</v>
      </c>
      <c r="G59" s="4" t="s">
        <v>241</v>
      </c>
      <c r="H59" s="4" t="s">
        <v>241</v>
      </c>
      <c r="I59" s="4" t="s">
        <v>525</v>
      </c>
      <c r="J59" s="4" t="s">
        <v>526</v>
      </c>
      <c r="K59" s="4" t="s">
        <v>249</v>
      </c>
      <c r="L59" s="4" t="s">
        <v>308</v>
      </c>
      <c r="M59" s="5" t="s">
        <v>528</v>
      </c>
      <c r="N59" s="4" t="s">
        <v>308</v>
      </c>
      <c r="O59" s="6">
        <f>9.94</f>
        <v>9.94</v>
      </c>
      <c r="P59" s="4" t="s">
        <v>267</v>
      </c>
      <c r="Q59" s="6">
        <f>1</f>
        <v>1</v>
      </c>
      <c r="R59" s="6">
        <f>3548580</f>
        <v>3548580</v>
      </c>
      <c r="S59" s="5" t="s">
        <v>532</v>
      </c>
      <c r="T59" s="4" t="s">
        <v>322</v>
      </c>
      <c r="U59" s="4" t="s">
        <v>533</v>
      </c>
      <c r="W59" s="6">
        <f>3548579</f>
        <v>3548579</v>
      </c>
      <c r="X59" s="4" t="s">
        <v>292</v>
      </c>
      <c r="Y59" s="4" t="s">
        <v>242</v>
      </c>
      <c r="Z59" s="4" t="s">
        <v>306</v>
      </c>
      <c r="AA59" s="4" t="s">
        <v>241</v>
      </c>
      <c r="AD59" s="4" t="s">
        <v>241</v>
      </c>
      <c r="AF59" s="5" t="s">
        <v>241</v>
      </c>
      <c r="AI59" s="5" t="s">
        <v>244</v>
      </c>
      <c r="AJ59" s="4" t="s">
        <v>245</v>
      </c>
      <c r="AK59" s="4" t="s">
        <v>246</v>
      </c>
      <c r="BA59" s="4" t="s">
        <v>247</v>
      </c>
      <c r="BB59" s="4" t="s">
        <v>241</v>
      </c>
      <c r="BC59" s="4" t="s">
        <v>248</v>
      </c>
      <c r="BD59" s="4" t="s">
        <v>241</v>
      </c>
      <c r="BE59" s="4" t="s">
        <v>250</v>
      </c>
      <c r="BF59" s="4" t="s">
        <v>241</v>
      </c>
      <c r="BJ59" s="4" t="s">
        <v>427</v>
      </c>
      <c r="BK59" s="5" t="s">
        <v>428</v>
      </c>
      <c r="BL59" s="4" t="s">
        <v>253</v>
      </c>
      <c r="BM59" s="4" t="s">
        <v>254</v>
      </c>
      <c r="BN59" s="4" t="s">
        <v>241</v>
      </c>
      <c r="BO59" s="6">
        <f>0</f>
        <v>0</v>
      </c>
      <c r="BP59" s="6">
        <f>0</f>
        <v>0</v>
      </c>
      <c r="BQ59" s="4" t="s">
        <v>255</v>
      </c>
      <c r="BR59" s="4" t="s">
        <v>256</v>
      </c>
      <c r="CF59" s="4" t="s">
        <v>241</v>
      </c>
      <c r="CG59" s="4" t="s">
        <v>241</v>
      </c>
      <c r="CK59" s="4" t="s">
        <v>276</v>
      </c>
      <c r="CL59" s="4" t="s">
        <v>258</v>
      </c>
      <c r="CM59" s="4" t="s">
        <v>241</v>
      </c>
      <c r="CO59" s="4" t="s">
        <v>284</v>
      </c>
      <c r="CP59" s="5" t="s">
        <v>260</v>
      </c>
      <c r="CQ59" s="4" t="s">
        <v>261</v>
      </c>
      <c r="CR59" s="4" t="s">
        <v>262</v>
      </c>
      <c r="CS59" s="4" t="s">
        <v>241</v>
      </c>
      <c r="CT59" s="4" t="s">
        <v>241</v>
      </c>
      <c r="CU59" s="4">
        <v>0</v>
      </c>
      <c r="CV59" s="4" t="s">
        <v>298</v>
      </c>
      <c r="CW59" s="4" t="s">
        <v>299</v>
      </c>
      <c r="CX59" s="4" t="s">
        <v>321</v>
      </c>
      <c r="CZ59" s="6">
        <f>3548580</f>
        <v>3548580</v>
      </c>
      <c r="DA59" s="6">
        <f>0</f>
        <v>0</v>
      </c>
      <c r="DC59" s="4" t="s">
        <v>241</v>
      </c>
      <c r="DD59" s="4" t="s">
        <v>241</v>
      </c>
      <c r="DF59" s="4" t="s">
        <v>241</v>
      </c>
      <c r="DI59" s="4" t="s">
        <v>241</v>
      </c>
      <c r="DJ59" s="4" t="s">
        <v>241</v>
      </c>
      <c r="DK59" s="4" t="s">
        <v>241</v>
      </c>
      <c r="DL59" s="4" t="s">
        <v>241</v>
      </c>
      <c r="DM59" s="4" t="s">
        <v>268</v>
      </c>
      <c r="DN59" s="4" t="s">
        <v>269</v>
      </c>
      <c r="DO59" s="6">
        <f>9.94</f>
        <v>9.94</v>
      </c>
      <c r="DP59" s="4" t="s">
        <v>241</v>
      </c>
      <c r="DQ59" s="4" t="s">
        <v>241</v>
      </c>
      <c r="DR59" s="4" t="s">
        <v>241</v>
      </c>
      <c r="DS59" s="4" t="s">
        <v>241</v>
      </c>
      <c r="DV59" s="4" t="s">
        <v>531</v>
      </c>
      <c r="DW59" s="4" t="s">
        <v>281</v>
      </c>
      <c r="HO59" s="4" t="s">
        <v>268</v>
      </c>
      <c r="HR59" s="4" t="s">
        <v>269</v>
      </c>
      <c r="HS59" s="4" t="s">
        <v>269</v>
      </c>
    </row>
    <row r="60" spans="1:227" x14ac:dyDescent="0.4">
      <c r="A60" s="4">
        <v>2</v>
      </c>
      <c r="B60" s="4" t="s">
        <v>239</v>
      </c>
      <c r="C60" s="4">
        <v>1138</v>
      </c>
      <c r="D60" s="4">
        <v>1</v>
      </c>
      <c r="E60" s="4">
        <v>1</v>
      </c>
      <c r="F60" s="4" t="s">
        <v>240</v>
      </c>
      <c r="G60" s="4" t="s">
        <v>241</v>
      </c>
      <c r="H60" s="4" t="s">
        <v>241</v>
      </c>
      <c r="I60" s="4" t="s">
        <v>525</v>
      </c>
      <c r="J60" s="4" t="s">
        <v>526</v>
      </c>
      <c r="K60" s="4" t="s">
        <v>249</v>
      </c>
      <c r="L60" s="4" t="s">
        <v>678</v>
      </c>
      <c r="M60" s="5" t="s">
        <v>528</v>
      </c>
      <c r="N60" s="4" t="s">
        <v>678</v>
      </c>
      <c r="O60" s="6">
        <f>33.39</f>
        <v>33.39</v>
      </c>
      <c r="P60" s="4" t="s">
        <v>267</v>
      </c>
      <c r="Q60" s="6">
        <f>1</f>
        <v>1</v>
      </c>
      <c r="R60" s="6">
        <f>5943420</f>
        <v>5943420</v>
      </c>
      <c r="S60" s="5" t="s">
        <v>715</v>
      </c>
      <c r="T60" s="4" t="s">
        <v>285</v>
      </c>
      <c r="U60" s="4" t="s">
        <v>285</v>
      </c>
      <c r="W60" s="6">
        <f>5943419</f>
        <v>5943419</v>
      </c>
      <c r="X60" s="4" t="s">
        <v>292</v>
      </c>
      <c r="Y60" s="4" t="s">
        <v>242</v>
      </c>
      <c r="Z60" s="4" t="s">
        <v>306</v>
      </c>
      <c r="AA60" s="4" t="s">
        <v>241</v>
      </c>
      <c r="AD60" s="4" t="s">
        <v>241</v>
      </c>
      <c r="AF60" s="5" t="s">
        <v>241</v>
      </c>
      <c r="AI60" s="5" t="s">
        <v>244</v>
      </c>
      <c r="AJ60" s="4" t="s">
        <v>245</v>
      </c>
      <c r="AK60" s="4" t="s">
        <v>246</v>
      </c>
      <c r="BA60" s="4" t="s">
        <v>247</v>
      </c>
      <c r="BB60" s="4" t="s">
        <v>241</v>
      </c>
      <c r="BC60" s="4" t="s">
        <v>248</v>
      </c>
      <c r="BD60" s="4" t="s">
        <v>241</v>
      </c>
      <c r="BE60" s="4" t="s">
        <v>250</v>
      </c>
      <c r="BF60" s="4" t="s">
        <v>241</v>
      </c>
      <c r="BJ60" s="4" t="s">
        <v>433</v>
      </c>
      <c r="BK60" s="5" t="s">
        <v>434</v>
      </c>
      <c r="BL60" s="4" t="s">
        <v>253</v>
      </c>
      <c r="BM60" s="4" t="s">
        <v>275</v>
      </c>
      <c r="BN60" s="4" t="s">
        <v>241</v>
      </c>
      <c r="BO60" s="6">
        <f>0</f>
        <v>0</v>
      </c>
      <c r="BP60" s="6">
        <f>0</f>
        <v>0</v>
      </c>
      <c r="BQ60" s="4" t="s">
        <v>255</v>
      </c>
      <c r="BR60" s="4" t="s">
        <v>256</v>
      </c>
      <c r="CF60" s="4" t="s">
        <v>241</v>
      </c>
      <c r="CG60" s="4" t="s">
        <v>241</v>
      </c>
      <c r="CK60" s="4" t="s">
        <v>276</v>
      </c>
      <c r="CL60" s="4" t="s">
        <v>258</v>
      </c>
      <c r="CM60" s="4" t="s">
        <v>241</v>
      </c>
      <c r="CO60" s="4" t="s">
        <v>712</v>
      </c>
      <c r="CP60" s="5" t="s">
        <v>260</v>
      </c>
      <c r="CQ60" s="4" t="s">
        <v>261</v>
      </c>
      <c r="CR60" s="4" t="s">
        <v>262</v>
      </c>
      <c r="CS60" s="4" t="s">
        <v>241</v>
      </c>
      <c r="CT60" s="4" t="s">
        <v>241</v>
      </c>
      <c r="CU60" s="4">
        <v>0</v>
      </c>
      <c r="CV60" s="4" t="s">
        <v>298</v>
      </c>
      <c r="CW60" s="4" t="s">
        <v>714</v>
      </c>
      <c r="CX60" s="4" t="s">
        <v>321</v>
      </c>
      <c r="CZ60" s="6">
        <f>5943420</f>
        <v>5943420</v>
      </c>
      <c r="DA60" s="6">
        <f>0</f>
        <v>0</v>
      </c>
      <c r="DC60" s="4" t="s">
        <v>241</v>
      </c>
      <c r="DD60" s="4" t="s">
        <v>241</v>
      </c>
      <c r="DF60" s="4" t="s">
        <v>241</v>
      </c>
      <c r="DI60" s="4" t="s">
        <v>241</v>
      </c>
      <c r="DJ60" s="4" t="s">
        <v>241</v>
      </c>
      <c r="DK60" s="4" t="s">
        <v>241</v>
      </c>
      <c r="DL60" s="4" t="s">
        <v>241</v>
      </c>
      <c r="DM60" s="4" t="s">
        <v>268</v>
      </c>
      <c r="DN60" s="4" t="s">
        <v>269</v>
      </c>
      <c r="DO60" s="6">
        <f>33.39</f>
        <v>33.39</v>
      </c>
      <c r="DP60" s="4" t="s">
        <v>241</v>
      </c>
      <c r="DQ60" s="4" t="s">
        <v>241</v>
      </c>
      <c r="DR60" s="4" t="s">
        <v>241</v>
      </c>
      <c r="DS60" s="4" t="s">
        <v>241</v>
      </c>
      <c r="DV60" s="4" t="s">
        <v>531</v>
      </c>
      <c r="DW60" s="4" t="s">
        <v>304</v>
      </c>
      <c r="HO60" s="4" t="s">
        <v>330</v>
      </c>
      <c r="HR60" s="4" t="s">
        <v>269</v>
      </c>
      <c r="HS60" s="4" t="s">
        <v>269</v>
      </c>
    </row>
    <row r="61" spans="1:227" x14ac:dyDescent="0.4">
      <c r="A61" s="4">
        <v>2</v>
      </c>
      <c r="B61" s="4" t="s">
        <v>239</v>
      </c>
      <c r="C61" s="4">
        <v>1139</v>
      </c>
      <c r="D61" s="4">
        <v>1</v>
      </c>
      <c r="E61" s="4">
        <v>1</v>
      </c>
      <c r="F61" s="4" t="s">
        <v>240</v>
      </c>
      <c r="G61" s="4" t="s">
        <v>241</v>
      </c>
      <c r="H61" s="4" t="s">
        <v>241</v>
      </c>
      <c r="I61" s="4" t="s">
        <v>525</v>
      </c>
      <c r="J61" s="4" t="s">
        <v>526</v>
      </c>
      <c r="K61" s="4" t="s">
        <v>249</v>
      </c>
      <c r="L61" s="4" t="s">
        <v>678</v>
      </c>
      <c r="M61" s="5" t="s">
        <v>528</v>
      </c>
      <c r="N61" s="4" t="s">
        <v>678</v>
      </c>
      <c r="O61" s="6">
        <f>33.39</f>
        <v>33.39</v>
      </c>
      <c r="P61" s="4" t="s">
        <v>267</v>
      </c>
      <c r="Q61" s="6">
        <f>1</f>
        <v>1</v>
      </c>
      <c r="R61" s="6">
        <f>5943420</f>
        <v>5943420</v>
      </c>
      <c r="S61" s="5" t="s">
        <v>715</v>
      </c>
      <c r="T61" s="4" t="s">
        <v>285</v>
      </c>
      <c r="U61" s="4" t="s">
        <v>285</v>
      </c>
      <c r="W61" s="6">
        <f>5943419</f>
        <v>5943419</v>
      </c>
      <c r="X61" s="4" t="s">
        <v>292</v>
      </c>
      <c r="Y61" s="4" t="s">
        <v>242</v>
      </c>
      <c r="Z61" s="4" t="s">
        <v>306</v>
      </c>
      <c r="AA61" s="4" t="s">
        <v>241</v>
      </c>
      <c r="AD61" s="4" t="s">
        <v>241</v>
      </c>
      <c r="AF61" s="5" t="s">
        <v>241</v>
      </c>
      <c r="AI61" s="5" t="s">
        <v>244</v>
      </c>
      <c r="AJ61" s="4" t="s">
        <v>245</v>
      </c>
      <c r="AK61" s="4" t="s">
        <v>246</v>
      </c>
      <c r="BA61" s="4" t="s">
        <v>247</v>
      </c>
      <c r="BB61" s="4" t="s">
        <v>241</v>
      </c>
      <c r="BC61" s="4" t="s">
        <v>248</v>
      </c>
      <c r="BD61" s="4" t="s">
        <v>241</v>
      </c>
      <c r="BE61" s="4" t="s">
        <v>250</v>
      </c>
      <c r="BF61" s="4" t="s">
        <v>241</v>
      </c>
      <c r="BJ61" s="4" t="s">
        <v>251</v>
      </c>
      <c r="BK61" s="5" t="s">
        <v>252</v>
      </c>
      <c r="BL61" s="4" t="s">
        <v>253</v>
      </c>
      <c r="BM61" s="4" t="s">
        <v>275</v>
      </c>
      <c r="BN61" s="4" t="s">
        <v>241</v>
      </c>
      <c r="BO61" s="6">
        <f>0</f>
        <v>0</v>
      </c>
      <c r="BP61" s="6">
        <f>0</f>
        <v>0</v>
      </c>
      <c r="BQ61" s="4" t="s">
        <v>255</v>
      </c>
      <c r="BR61" s="4" t="s">
        <v>256</v>
      </c>
      <c r="CF61" s="4" t="s">
        <v>241</v>
      </c>
      <c r="CG61" s="4" t="s">
        <v>241</v>
      </c>
      <c r="CK61" s="4" t="s">
        <v>276</v>
      </c>
      <c r="CL61" s="4" t="s">
        <v>258</v>
      </c>
      <c r="CM61" s="4" t="s">
        <v>241</v>
      </c>
      <c r="CO61" s="4" t="s">
        <v>712</v>
      </c>
      <c r="CP61" s="5" t="s">
        <v>260</v>
      </c>
      <c r="CQ61" s="4" t="s">
        <v>261</v>
      </c>
      <c r="CR61" s="4" t="s">
        <v>262</v>
      </c>
      <c r="CS61" s="4" t="s">
        <v>241</v>
      </c>
      <c r="CT61" s="4" t="s">
        <v>241</v>
      </c>
      <c r="CU61" s="4">
        <v>0</v>
      </c>
      <c r="CV61" s="4" t="s">
        <v>298</v>
      </c>
      <c r="CW61" s="4" t="s">
        <v>714</v>
      </c>
      <c r="CX61" s="4" t="s">
        <v>321</v>
      </c>
      <c r="CZ61" s="6">
        <f>5943420</f>
        <v>5943420</v>
      </c>
      <c r="DA61" s="6">
        <f>0</f>
        <v>0</v>
      </c>
      <c r="DC61" s="4" t="s">
        <v>241</v>
      </c>
      <c r="DD61" s="4" t="s">
        <v>241</v>
      </c>
      <c r="DF61" s="4" t="s">
        <v>241</v>
      </c>
      <c r="DI61" s="4" t="s">
        <v>241</v>
      </c>
      <c r="DJ61" s="4" t="s">
        <v>241</v>
      </c>
      <c r="DK61" s="4" t="s">
        <v>241</v>
      </c>
      <c r="DL61" s="4" t="s">
        <v>241</v>
      </c>
      <c r="DM61" s="4" t="s">
        <v>268</v>
      </c>
      <c r="DN61" s="4" t="s">
        <v>269</v>
      </c>
      <c r="DO61" s="6">
        <f>33.39</f>
        <v>33.39</v>
      </c>
      <c r="DP61" s="4" t="s">
        <v>241</v>
      </c>
      <c r="DQ61" s="4" t="s">
        <v>241</v>
      </c>
      <c r="DR61" s="4" t="s">
        <v>241</v>
      </c>
      <c r="DS61" s="4" t="s">
        <v>241</v>
      </c>
      <c r="DV61" s="4" t="s">
        <v>531</v>
      </c>
      <c r="DW61" s="4" t="s">
        <v>330</v>
      </c>
      <c r="HO61" s="4" t="s">
        <v>330</v>
      </c>
      <c r="HR61" s="4" t="s">
        <v>269</v>
      </c>
      <c r="HS61" s="4" t="s">
        <v>269</v>
      </c>
    </row>
    <row r="62" spans="1:227" x14ac:dyDescent="0.4">
      <c r="A62" s="4">
        <v>2</v>
      </c>
      <c r="B62" s="4" t="s">
        <v>239</v>
      </c>
      <c r="C62" s="4">
        <v>1140</v>
      </c>
      <c r="D62" s="4">
        <v>1</v>
      </c>
      <c r="E62" s="4">
        <v>1</v>
      </c>
      <c r="F62" s="4" t="s">
        <v>240</v>
      </c>
      <c r="G62" s="4" t="s">
        <v>241</v>
      </c>
      <c r="H62" s="4" t="s">
        <v>241</v>
      </c>
      <c r="I62" s="4" t="s">
        <v>525</v>
      </c>
      <c r="J62" s="4" t="s">
        <v>526</v>
      </c>
      <c r="K62" s="4" t="s">
        <v>249</v>
      </c>
      <c r="L62" s="4" t="s">
        <v>678</v>
      </c>
      <c r="M62" s="5" t="s">
        <v>528</v>
      </c>
      <c r="N62" s="4" t="s">
        <v>678</v>
      </c>
      <c r="O62" s="6">
        <f>33.39</f>
        <v>33.39</v>
      </c>
      <c r="P62" s="4" t="s">
        <v>267</v>
      </c>
      <c r="Q62" s="6">
        <f>1</f>
        <v>1</v>
      </c>
      <c r="R62" s="6">
        <f>5943420</f>
        <v>5943420</v>
      </c>
      <c r="S62" s="5" t="s">
        <v>715</v>
      </c>
      <c r="T62" s="4" t="s">
        <v>285</v>
      </c>
      <c r="U62" s="4" t="s">
        <v>285</v>
      </c>
      <c r="W62" s="6">
        <f>5943419</f>
        <v>5943419</v>
      </c>
      <c r="X62" s="4" t="s">
        <v>292</v>
      </c>
      <c r="Y62" s="4" t="s">
        <v>242</v>
      </c>
      <c r="Z62" s="4" t="s">
        <v>306</v>
      </c>
      <c r="AA62" s="4" t="s">
        <v>241</v>
      </c>
      <c r="AD62" s="4" t="s">
        <v>241</v>
      </c>
      <c r="AF62" s="5" t="s">
        <v>241</v>
      </c>
      <c r="AI62" s="5" t="s">
        <v>244</v>
      </c>
      <c r="AJ62" s="4" t="s">
        <v>245</v>
      </c>
      <c r="AK62" s="4" t="s">
        <v>246</v>
      </c>
      <c r="BA62" s="4" t="s">
        <v>247</v>
      </c>
      <c r="BB62" s="4" t="s">
        <v>241</v>
      </c>
      <c r="BC62" s="4" t="s">
        <v>248</v>
      </c>
      <c r="BD62" s="4" t="s">
        <v>241</v>
      </c>
      <c r="BE62" s="4" t="s">
        <v>250</v>
      </c>
      <c r="BF62" s="4" t="s">
        <v>241</v>
      </c>
      <c r="BJ62" s="4" t="s">
        <v>399</v>
      </c>
      <c r="BK62" s="5" t="s">
        <v>244</v>
      </c>
      <c r="BL62" s="4" t="s">
        <v>253</v>
      </c>
      <c r="BM62" s="4" t="s">
        <v>275</v>
      </c>
      <c r="BN62" s="4" t="s">
        <v>241</v>
      </c>
      <c r="BO62" s="6">
        <f>0</f>
        <v>0</v>
      </c>
      <c r="BP62" s="6">
        <f>0</f>
        <v>0</v>
      </c>
      <c r="BQ62" s="4" t="s">
        <v>255</v>
      </c>
      <c r="BR62" s="4" t="s">
        <v>256</v>
      </c>
      <c r="CF62" s="4" t="s">
        <v>241</v>
      </c>
      <c r="CG62" s="4" t="s">
        <v>241</v>
      </c>
      <c r="CK62" s="4" t="s">
        <v>276</v>
      </c>
      <c r="CL62" s="4" t="s">
        <v>258</v>
      </c>
      <c r="CM62" s="4" t="s">
        <v>241</v>
      </c>
      <c r="CO62" s="4" t="s">
        <v>712</v>
      </c>
      <c r="CP62" s="5" t="s">
        <v>260</v>
      </c>
      <c r="CQ62" s="4" t="s">
        <v>261</v>
      </c>
      <c r="CR62" s="4" t="s">
        <v>262</v>
      </c>
      <c r="CS62" s="4" t="s">
        <v>241</v>
      </c>
      <c r="CT62" s="4" t="s">
        <v>241</v>
      </c>
      <c r="CU62" s="4">
        <v>0</v>
      </c>
      <c r="CV62" s="4" t="s">
        <v>298</v>
      </c>
      <c r="CW62" s="4" t="s">
        <v>714</v>
      </c>
      <c r="CX62" s="4" t="s">
        <v>321</v>
      </c>
      <c r="CZ62" s="6">
        <f>5943420</f>
        <v>5943420</v>
      </c>
      <c r="DA62" s="6">
        <f>0</f>
        <v>0</v>
      </c>
      <c r="DC62" s="4" t="s">
        <v>241</v>
      </c>
      <c r="DD62" s="4" t="s">
        <v>241</v>
      </c>
      <c r="DF62" s="4" t="s">
        <v>241</v>
      </c>
      <c r="DI62" s="4" t="s">
        <v>241</v>
      </c>
      <c r="DJ62" s="4" t="s">
        <v>241</v>
      </c>
      <c r="DK62" s="4" t="s">
        <v>241</v>
      </c>
      <c r="DL62" s="4" t="s">
        <v>241</v>
      </c>
      <c r="DM62" s="4" t="s">
        <v>268</v>
      </c>
      <c r="DN62" s="4" t="s">
        <v>269</v>
      </c>
      <c r="DO62" s="6">
        <f>33.39</f>
        <v>33.39</v>
      </c>
      <c r="DP62" s="4" t="s">
        <v>241</v>
      </c>
      <c r="DQ62" s="4" t="s">
        <v>241</v>
      </c>
      <c r="DR62" s="4" t="s">
        <v>241</v>
      </c>
      <c r="DS62" s="4" t="s">
        <v>241</v>
      </c>
      <c r="DV62" s="4" t="s">
        <v>531</v>
      </c>
      <c r="DW62" s="4" t="s">
        <v>282</v>
      </c>
      <c r="HO62" s="4" t="s">
        <v>330</v>
      </c>
      <c r="HR62" s="4" t="s">
        <v>269</v>
      </c>
      <c r="HS62" s="4" t="s">
        <v>269</v>
      </c>
    </row>
    <row r="63" spans="1:227" x14ac:dyDescent="0.4">
      <c r="A63" s="4">
        <v>2</v>
      </c>
      <c r="B63" s="4" t="s">
        <v>239</v>
      </c>
      <c r="C63" s="4">
        <v>1141</v>
      </c>
      <c r="D63" s="4">
        <v>1</v>
      </c>
      <c r="E63" s="4">
        <v>1</v>
      </c>
      <c r="F63" s="4" t="s">
        <v>240</v>
      </c>
      <c r="G63" s="4" t="s">
        <v>241</v>
      </c>
      <c r="H63" s="4" t="s">
        <v>241</v>
      </c>
      <c r="I63" s="4" t="s">
        <v>525</v>
      </c>
      <c r="J63" s="4" t="s">
        <v>526</v>
      </c>
      <c r="K63" s="4" t="s">
        <v>249</v>
      </c>
      <c r="L63" s="4" t="s">
        <v>678</v>
      </c>
      <c r="M63" s="5" t="s">
        <v>528</v>
      </c>
      <c r="N63" s="4" t="s">
        <v>678</v>
      </c>
      <c r="O63" s="6">
        <f>33.39</f>
        <v>33.39</v>
      </c>
      <c r="P63" s="4" t="s">
        <v>267</v>
      </c>
      <c r="Q63" s="6">
        <f>1</f>
        <v>1</v>
      </c>
      <c r="R63" s="6">
        <f>5943420</f>
        <v>5943420</v>
      </c>
      <c r="S63" s="5" t="s">
        <v>715</v>
      </c>
      <c r="T63" s="4" t="s">
        <v>285</v>
      </c>
      <c r="U63" s="4" t="s">
        <v>285</v>
      </c>
      <c r="W63" s="6">
        <f>5943419</f>
        <v>5943419</v>
      </c>
      <c r="X63" s="4" t="s">
        <v>292</v>
      </c>
      <c r="Y63" s="4" t="s">
        <v>242</v>
      </c>
      <c r="Z63" s="4" t="s">
        <v>306</v>
      </c>
      <c r="AA63" s="4" t="s">
        <v>241</v>
      </c>
      <c r="AD63" s="4" t="s">
        <v>241</v>
      </c>
      <c r="AF63" s="5" t="s">
        <v>241</v>
      </c>
      <c r="AI63" s="5" t="s">
        <v>720</v>
      </c>
      <c r="AJ63" s="4" t="s">
        <v>245</v>
      </c>
      <c r="AK63" s="4" t="s">
        <v>246</v>
      </c>
      <c r="BA63" s="4" t="s">
        <v>247</v>
      </c>
      <c r="BB63" s="4" t="s">
        <v>241</v>
      </c>
      <c r="BC63" s="4" t="s">
        <v>248</v>
      </c>
      <c r="BD63" s="4" t="s">
        <v>241</v>
      </c>
      <c r="BE63" s="4" t="s">
        <v>250</v>
      </c>
      <c r="BF63" s="4" t="s">
        <v>241</v>
      </c>
      <c r="BJ63" s="4" t="s">
        <v>251</v>
      </c>
      <c r="BK63" s="5" t="s">
        <v>720</v>
      </c>
      <c r="BL63" s="4" t="s">
        <v>253</v>
      </c>
      <c r="BM63" s="4" t="s">
        <v>275</v>
      </c>
      <c r="BN63" s="4" t="s">
        <v>241</v>
      </c>
      <c r="BO63" s="6">
        <f>0</f>
        <v>0</v>
      </c>
      <c r="BP63" s="6">
        <f>0</f>
        <v>0</v>
      </c>
      <c r="BQ63" s="4" t="s">
        <v>255</v>
      </c>
      <c r="BR63" s="4" t="s">
        <v>256</v>
      </c>
      <c r="CF63" s="4" t="s">
        <v>241</v>
      </c>
      <c r="CG63" s="4" t="s">
        <v>241</v>
      </c>
      <c r="CK63" s="4" t="s">
        <v>276</v>
      </c>
      <c r="CL63" s="4" t="s">
        <v>258</v>
      </c>
      <c r="CM63" s="4" t="s">
        <v>241</v>
      </c>
      <c r="CO63" s="4" t="s">
        <v>712</v>
      </c>
      <c r="CP63" s="5" t="s">
        <v>260</v>
      </c>
      <c r="CQ63" s="4" t="s">
        <v>261</v>
      </c>
      <c r="CR63" s="4" t="s">
        <v>262</v>
      </c>
      <c r="CS63" s="4" t="s">
        <v>241</v>
      </c>
      <c r="CT63" s="4" t="s">
        <v>241</v>
      </c>
      <c r="CU63" s="4">
        <v>0</v>
      </c>
      <c r="CV63" s="4" t="s">
        <v>298</v>
      </c>
      <c r="CW63" s="4" t="s">
        <v>714</v>
      </c>
      <c r="CX63" s="4" t="s">
        <v>321</v>
      </c>
      <c r="CZ63" s="6">
        <f>5943420</f>
        <v>5943420</v>
      </c>
      <c r="DA63" s="6">
        <f>0</f>
        <v>0</v>
      </c>
      <c r="DC63" s="4" t="s">
        <v>241</v>
      </c>
      <c r="DD63" s="4" t="s">
        <v>241</v>
      </c>
      <c r="DF63" s="4" t="s">
        <v>241</v>
      </c>
      <c r="DI63" s="4" t="s">
        <v>241</v>
      </c>
      <c r="DJ63" s="4" t="s">
        <v>241</v>
      </c>
      <c r="DK63" s="4" t="s">
        <v>241</v>
      </c>
      <c r="DL63" s="4" t="s">
        <v>241</v>
      </c>
      <c r="DM63" s="4" t="s">
        <v>268</v>
      </c>
      <c r="DN63" s="4" t="s">
        <v>269</v>
      </c>
      <c r="DO63" s="6">
        <f>33.39</f>
        <v>33.39</v>
      </c>
      <c r="DP63" s="4" t="s">
        <v>241</v>
      </c>
      <c r="DQ63" s="4" t="s">
        <v>241</v>
      </c>
      <c r="DR63" s="4" t="s">
        <v>241</v>
      </c>
      <c r="DS63" s="4" t="s">
        <v>241</v>
      </c>
      <c r="DV63" s="4" t="s">
        <v>531</v>
      </c>
      <c r="DW63" s="4" t="s">
        <v>310</v>
      </c>
      <c r="HO63" s="4" t="s">
        <v>330</v>
      </c>
      <c r="HR63" s="4" t="s">
        <v>269</v>
      </c>
      <c r="HS63" s="4" t="s">
        <v>269</v>
      </c>
    </row>
    <row r="64" spans="1:227" x14ac:dyDescent="0.4">
      <c r="A64" s="4">
        <v>2</v>
      </c>
      <c r="B64" s="4" t="s">
        <v>239</v>
      </c>
      <c r="C64" s="4">
        <v>1142</v>
      </c>
      <c r="D64" s="4">
        <v>1</v>
      </c>
      <c r="E64" s="4">
        <v>1</v>
      </c>
      <c r="F64" s="4" t="s">
        <v>240</v>
      </c>
      <c r="G64" s="4" t="s">
        <v>241</v>
      </c>
      <c r="H64" s="4" t="s">
        <v>241</v>
      </c>
      <c r="I64" s="4" t="s">
        <v>525</v>
      </c>
      <c r="J64" s="4" t="s">
        <v>526</v>
      </c>
      <c r="K64" s="4" t="s">
        <v>249</v>
      </c>
      <c r="L64" s="4" t="s">
        <v>678</v>
      </c>
      <c r="M64" s="5" t="s">
        <v>528</v>
      </c>
      <c r="N64" s="4" t="s">
        <v>678</v>
      </c>
      <c r="O64" s="6">
        <f>33.39</f>
        <v>33.39</v>
      </c>
      <c r="P64" s="4" t="s">
        <v>267</v>
      </c>
      <c r="Q64" s="6">
        <f>1</f>
        <v>1</v>
      </c>
      <c r="R64" s="6">
        <f>5943420</f>
        <v>5943420</v>
      </c>
      <c r="S64" s="5" t="s">
        <v>715</v>
      </c>
      <c r="T64" s="4" t="s">
        <v>285</v>
      </c>
      <c r="U64" s="4" t="s">
        <v>285</v>
      </c>
      <c r="W64" s="6">
        <f>5943419</f>
        <v>5943419</v>
      </c>
      <c r="X64" s="4" t="s">
        <v>292</v>
      </c>
      <c r="Y64" s="4" t="s">
        <v>242</v>
      </c>
      <c r="Z64" s="4" t="s">
        <v>306</v>
      </c>
      <c r="AA64" s="4" t="s">
        <v>241</v>
      </c>
      <c r="AD64" s="4" t="s">
        <v>241</v>
      </c>
      <c r="AF64" s="5" t="s">
        <v>241</v>
      </c>
      <c r="AI64" s="5" t="s">
        <v>720</v>
      </c>
      <c r="AJ64" s="4" t="s">
        <v>245</v>
      </c>
      <c r="AK64" s="4" t="s">
        <v>246</v>
      </c>
      <c r="BA64" s="4" t="s">
        <v>247</v>
      </c>
      <c r="BB64" s="4" t="s">
        <v>241</v>
      </c>
      <c r="BC64" s="4" t="s">
        <v>248</v>
      </c>
      <c r="BD64" s="4" t="s">
        <v>241</v>
      </c>
      <c r="BE64" s="4" t="s">
        <v>250</v>
      </c>
      <c r="BF64" s="4" t="s">
        <v>241</v>
      </c>
      <c r="BJ64" s="4" t="s">
        <v>251</v>
      </c>
      <c r="BK64" s="5" t="s">
        <v>252</v>
      </c>
      <c r="BL64" s="4" t="s">
        <v>253</v>
      </c>
      <c r="BM64" s="4" t="s">
        <v>275</v>
      </c>
      <c r="BN64" s="4" t="s">
        <v>241</v>
      </c>
      <c r="BO64" s="6">
        <f>0</f>
        <v>0</v>
      </c>
      <c r="BP64" s="6">
        <f>0</f>
        <v>0</v>
      </c>
      <c r="BQ64" s="4" t="s">
        <v>255</v>
      </c>
      <c r="BR64" s="4" t="s">
        <v>256</v>
      </c>
      <c r="CF64" s="4" t="s">
        <v>241</v>
      </c>
      <c r="CG64" s="4" t="s">
        <v>241</v>
      </c>
      <c r="CK64" s="4" t="s">
        <v>276</v>
      </c>
      <c r="CL64" s="4" t="s">
        <v>258</v>
      </c>
      <c r="CM64" s="4" t="s">
        <v>241</v>
      </c>
      <c r="CO64" s="4" t="s">
        <v>712</v>
      </c>
      <c r="CP64" s="5" t="s">
        <v>260</v>
      </c>
      <c r="CQ64" s="4" t="s">
        <v>261</v>
      </c>
      <c r="CR64" s="4" t="s">
        <v>262</v>
      </c>
      <c r="CS64" s="4" t="s">
        <v>241</v>
      </c>
      <c r="CT64" s="4" t="s">
        <v>241</v>
      </c>
      <c r="CU64" s="4">
        <v>0</v>
      </c>
      <c r="CV64" s="4" t="s">
        <v>298</v>
      </c>
      <c r="CW64" s="4" t="s">
        <v>714</v>
      </c>
      <c r="CX64" s="4" t="s">
        <v>321</v>
      </c>
      <c r="CZ64" s="6">
        <f>5943420</f>
        <v>5943420</v>
      </c>
      <c r="DA64" s="6">
        <f>0</f>
        <v>0</v>
      </c>
      <c r="DC64" s="4" t="s">
        <v>241</v>
      </c>
      <c r="DD64" s="4" t="s">
        <v>241</v>
      </c>
      <c r="DF64" s="4" t="s">
        <v>241</v>
      </c>
      <c r="DI64" s="4" t="s">
        <v>241</v>
      </c>
      <c r="DJ64" s="4" t="s">
        <v>241</v>
      </c>
      <c r="DK64" s="4" t="s">
        <v>241</v>
      </c>
      <c r="DL64" s="4" t="s">
        <v>241</v>
      </c>
      <c r="DM64" s="4" t="s">
        <v>268</v>
      </c>
      <c r="DN64" s="4" t="s">
        <v>269</v>
      </c>
      <c r="DO64" s="6">
        <f>33.39</f>
        <v>33.39</v>
      </c>
      <c r="DP64" s="4" t="s">
        <v>241</v>
      </c>
      <c r="DQ64" s="4" t="s">
        <v>241</v>
      </c>
      <c r="DR64" s="4" t="s">
        <v>241</v>
      </c>
      <c r="DS64" s="4" t="s">
        <v>241</v>
      </c>
      <c r="DV64" s="4" t="s">
        <v>531</v>
      </c>
      <c r="DW64" s="4" t="s">
        <v>315</v>
      </c>
      <c r="HO64" s="4" t="s">
        <v>330</v>
      </c>
      <c r="HR64" s="4" t="s">
        <v>269</v>
      </c>
      <c r="HS64" s="4" t="s">
        <v>269</v>
      </c>
    </row>
    <row r="65" spans="1:240" x14ac:dyDescent="0.4">
      <c r="A65" s="4">
        <v>2</v>
      </c>
      <c r="B65" s="4" t="s">
        <v>239</v>
      </c>
      <c r="C65" s="4">
        <v>1143</v>
      </c>
      <c r="D65" s="4">
        <v>1</v>
      </c>
      <c r="E65" s="4">
        <v>1</v>
      </c>
      <c r="F65" s="4" t="s">
        <v>240</v>
      </c>
      <c r="G65" s="4" t="s">
        <v>241</v>
      </c>
      <c r="H65" s="4" t="s">
        <v>241</v>
      </c>
      <c r="I65" s="4" t="s">
        <v>525</v>
      </c>
      <c r="J65" s="4" t="s">
        <v>526</v>
      </c>
      <c r="K65" s="4" t="s">
        <v>249</v>
      </c>
      <c r="L65" s="4" t="s">
        <v>593</v>
      </c>
      <c r="M65" s="5" t="s">
        <v>528</v>
      </c>
      <c r="N65" s="4" t="s">
        <v>593</v>
      </c>
      <c r="O65" s="6">
        <f>5.7</f>
        <v>5.7</v>
      </c>
      <c r="P65" s="4" t="s">
        <v>267</v>
      </c>
      <c r="Q65" s="6">
        <f>1</f>
        <v>1</v>
      </c>
      <c r="R65" s="6">
        <f>809400</f>
        <v>809400</v>
      </c>
      <c r="S65" s="5" t="s">
        <v>532</v>
      </c>
      <c r="T65" s="4" t="s">
        <v>322</v>
      </c>
      <c r="U65" s="4" t="s">
        <v>533</v>
      </c>
      <c r="W65" s="6">
        <f>809399</f>
        <v>809399</v>
      </c>
      <c r="X65" s="4" t="s">
        <v>292</v>
      </c>
      <c r="Y65" s="4" t="s">
        <v>242</v>
      </c>
      <c r="Z65" s="4" t="s">
        <v>306</v>
      </c>
      <c r="AA65" s="4" t="s">
        <v>241</v>
      </c>
      <c r="AD65" s="4" t="s">
        <v>241</v>
      </c>
      <c r="AF65" s="5" t="s">
        <v>241</v>
      </c>
      <c r="AI65" s="5" t="s">
        <v>244</v>
      </c>
      <c r="AJ65" s="4" t="s">
        <v>245</v>
      </c>
      <c r="AK65" s="4" t="s">
        <v>246</v>
      </c>
      <c r="BA65" s="4" t="s">
        <v>247</v>
      </c>
      <c r="BB65" s="4" t="s">
        <v>241</v>
      </c>
      <c r="BC65" s="4" t="s">
        <v>248</v>
      </c>
      <c r="BD65" s="4" t="s">
        <v>241</v>
      </c>
      <c r="BE65" s="4" t="s">
        <v>250</v>
      </c>
      <c r="BF65" s="4" t="s">
        <v>241</v>
      </c>
      <c r="BJ65" s="4" t="s">
        <v>399</v>
      </c>
      <c r="BK65" s="5" t="s">
        <v>244</v>
      </c>
      <c r="BL65" s="4" t="s">
        <v>253</v>
      </c>
      <c r="BM65" s="4" t="s">
        <v>254</v>
      </c>
      <c r="BN65" s="4" t="s">
        <v>241</v>
      </c>
      <c r="BO65" s="6">
        <f>0</f>
        <v>0</v>
      </c>
      <c r="BP65" s="6">
        <f>0</f>
        <v>0</v>
      </c>
      <c r="BQ65" s="4" t="s">
        <v>255</v>
      </c>
      <c r="BR65" s="4" t="s">
        <v>256</v>
      </c>
      <c r="CF65" s="4" t="s">
        <v>241</v>
      </c>
      <c r="CG65" s="4" t="s">
        <v>241</v>
      </c>
      <c r="CK65" s="4" t="s">
        <v>276</v>
      </c>
      <c r="CL65" s="4" t="s">
        <v>258</v>
      </c>
      <c r="CM65" s="4" t="s">
        <v>241</v>
      </c>
      <c r="CO65" s="4" t="s">
        <v>284</v>
      </c>
      <c r="CP65" s="5" t="s">
        <v>260</v>
      </c>
      <c r="CQ65" s="4" t="s">
        <v>261</v>
      </c>
      <c r="CR65" s="4" t="s">
        <v>262</v>
      </c>
      <c r="CS65" s="4" t="s">
        <v>241</v>
      </c>
      <c r="CT65" s="4" t="s">
        <v>241</v>
      </c>
      <c r="CU65" s="4">
        <v>0</v>
      </c>
      <c r="CV65" s="4" t="s">
        <v>298</v>
      </c>
      <c r="CW65" s="4" t="s">
        <v>594</v>
      </c>
      <c r="CX65" s="4" t="s">
        <v>595</v>
      </c>
      <c r="CZ65" s="6">
        <f>809400</f>
        <v>809400</v>
      </c>
      <c r="DA65" s="6">
        <f>0</f>
        <v>0</v>
      </c>
      <c r="DC65" s="4" t="s">
        <v>241</v>
      </c>
      <c r="DD65" s="4" t="s">
        <v>241</v>
      </c>
      <c r="DF65" s="4" t="s">
        <v>241</v>
      </c>
      <c r="DI65" s="4" t="s">
        <v>241</v>
      </c>
      <c r="DJ65" s="4" t="s">
        <v>241</v>
      </c>
      <c r="DK65" s="4" t="s">
        <v>241</v>
      </c>
      <c r="DL65" s="4" t="s">
        <v>241</v>
      </c>
      <c r="DM65" s="4" t="s">
        <v>268</v>
      </c>
      <c r="DN65" s="4" t="s">
        <v>269</v>
      </c>
      <c r="DO65" s="6">
        <f>5.7</f>
        <v>5.7</v>
      </c>
      <c r="DP65" s="4" t="s">
        <v>241</v>
      </c>
      <c r="DQ65" s="4" t="s">
        <v>241</v>
      </c>
      <c r="DR65" s="4" t="s">
        <v>241</v>
      </c>
      <c r="DS65" s="4" t="s">
        <v>241</v>
      </c>
      <c r="DV65" s="4" t="s">
        <v>531</v>
      </c>
      <c r="DW65" s="4" t="s">
        <v>596</v>
      </c>
      <c r="HO65" s="4" t="s">
        <v>268</v>
      </c>
      <c r="HR65" s="4" t="s">
        <v>269</v>
      </c>
      <c r="HS65" s="4" t="s">
        <v>269</v>
      </c>
    </row>
    <row r="66" spans="1:240" x14ac:dyDescent="0.4">
      <c r="A66" s="4">
        <v>2</v>
      </c>
      <c r="B66" s="4" t="s">
        <v>239</v>
      </c>
      <c r="C66" s="4">
        <v>1144</v>
      </c>
      <c r="D66" s="4">
        <v>1</v>
      </c>
      <c r="E66" s="4">
        <v>1</v>
      </c>
      <c r="F66" s="4" t="s">
        <v>240</v>
      </c>
      <c r="G66" s="4" t="s">
        <v>241</v>
      </c>
      <c r="H66" s="4" t="s">
        <v>241</v>
      </c>
      <c r="I66" s="4" t="s">
        <v>525</v>
      </c>
      <c r="J66" s="4" t="s">
        <v>526</v>
      </c>
      <c r="K66" s="4" t="s">
        <v>249</v>
      </c>
      <c r="L66" s="4" t="s">
        <v>593</v>
      </c>
      <c r="M66" s="5" t="s">
        <v>528</v>
      </c>
      <c r="N66" s="4" t="s">
        <v>593</v>
      </c>
      <c r="O66" s="6">
        <f>5.7</f>
        <v>5.7</v>
      </c>
      <c r="P66" s="4" t="s">
        <v>267</v>
      </c>
      <c r="Q66" s="6">
        <f>1</f>
        <v>1</v>
      </c>
      <c r="R66" s="6">
        <f>809400</f>
        <v>809400</v>
      </c>
      <c r="S66" s="5" t="s">
        <v>532</v>
      </c>
      <c r="T66" s="4" t="s">
        <v>322</v>
      </c>
      <c r="U66" s="4" t="s">
        <v>533</v>
      </c>
      <c r="W66" s="6">
        <f>809399</f>
        <v>809399</v>
      </c>
      <c r="X66" s="4" t="s">
        <v>292</v>
      </c>
      <c r="Y66" s="4" t="s">
        <v>242</v>
      </c>
      <c r="Z66" s="4" t="s">
        <v>306</v>
      </c>
      <c r="AA66" s="4" t="s">
        <v>241</v>
      </c>
      <c r="AD66" s="4" t="s">
        <v>241</v>
      </c>
      <c r="AF66" s="5" t="s">
        <v>241</v>
      </c>
      <c r="AI66" s="5" t="s">
        <v>244</v>
      </c>
      <c r="AJ66" s="4" t="s">
        <v>245</v>
      </c>
      <c r="AK66" s="4" t="s">
        <v>246</v>
      </c>
      <c r="BA66" s="4" t="s">
        <v>247</v>
      </c>
      <c r="BB66" s="4" t="s">
        <v>241</v>
      </c>
      <c r="BC66" s="4" t="s">
        <v>248</v>
      </c>
      <c r="BD66" s="4" t="s">
        <v>241</v>
      </c>
      <c r="BE66" s="4" t="s">
        <v>250</v>
      </c>
      <c r="BF66" s="4" t="s">
        <v>241</v>
      </c>
      <c r="BJ66" s="4" t="s">
        <v>427</v>
      </c>
      <c r="BK66" s="5" t="s">
        <v>428</v>
      </c>
      <c r="BL66" s="4" t="s">
        <v>253</v>
      </c>
      <c r="BM66" s="4" t="s">
        <v>254</v>
      </c>
      <c r="BN66" s="4" t="s">
        <v>241</v>
      </c>
      <c r="BO66" s="6">
        <f>0</f>
        <v>0</v>
      </c>
      <c r="BP66" s="6">
        <f>0</f>
        <v>0</v>
      </c>
      <c r="BQ66" s="4" t="s">
        <v>255</v>
      </c>
      <c r="BR66" s="4" t="s">
        <v>256</v>
      </c>
      <c r="CF66" s="4" t="s">
        <v>241</v>
      </c>
      <c r="CG66" s="4" t="s">
        <v>241</v>
      </c>
      <c r="CK66" s="4" t="s">
        <v>276</v>
      </c>
      <c r="CL66" s="4" t="s">
        <v>258</v>
      </c>
      <c r="CM66" s="4" t="s">
        <v>241</v>
      </c>
      <c r="CO66" s="4" t="s">
        <v>284</v>
      </c>
      <c r="CP66" s="5" t="s">
        <v>260</v>
      </c>
      <c r="CQ66" s="4" t="s">
        <v>261</v>
      </c>
      <c r="CR66" s="4" t="s">
        <v>262</v>
      </c>
      <c r="CS66" s="4" t="s">
        <v>241</v>
      </c>
      <c r="CT66" s="4" t="s">
        <v>241</v>
      </c>
      <c r="CU66" s="4">
        <v>0</v>
      </c>
      <c r="CV66" s="4" t="s">
        <v>298</v>
      </c>
      <c r="CW66" s="4" t="s">
        <v>594</v>
      </c>
      <c r="CX66" s="4" t="s">
        <v>595</v>
      </c>
      <c r="CZ66" s="6">
        <f>809400</f>
        <v>809400</v>
      </c>
      <c r="DA66" s="6">
        <f>0</f>
        <v>0</v>
      </c>
      <c r="DC66" s="4" t="s">
        <v>241</v>
      </c>
      <c r="DD66" s="4" t="s">
        <v>241</v>
      </c>
      <c r="DF66" s="4" t="s">
        <v>241</v>
      </c>
      <c r="DI66" s="4" t="s">
        <v>241</v>
      </c>
      <c r="DJ66" s="4" t="s">
        <v>241</v>
      </c>
      <c r="DK66" s="4" t="s">
        <v>241</v>
      </c>
      <c r="DL66" s="4" t="s">
        <v>241</v>
      </c>
      <c r="DM66" s="4" t="s">
        <v>268</v>
      </c>
      <c r="DN66" s="4" t="s">
        <v>269</v>
      </c>
      <c r="DO66" s="6">
        <f>5.7</f>
        <v>5.7</v>
      </c>
      <c r="DP66" s="4" t="s">
        <v>241</v>
      </c>
      <c r="DQ66" s="4" t="s">
        <v>241</v>
      </c>
      <c r="DR66" s="4" t="s">
        <v>241</v>
      </c>
      <c r="DS66" s="4" t="s">
        <v>241</v>
      </c>
      <c r="DV66" s="4" t="s">
        <v>531</v>
      </c>
      <c r="DW66" s="4" t="s">
        <v>618</v>
      </c>
      <c r="HO66" s="4" t="s">
        <v>268</v>
      </c>
      <c r="HR66" s="4" t="s">
        <v>269</v>
      </c>
      <c r="HS66" s="4" t="s">
        <v>269</v>
      </c>
    </row>
    <row r="67" spans="1:240" x14ac:dyDescent="0.4">
      <c r="A67" s="4">
        <v>2</v>
      </c>
      <c r="B67" s="4" t="s">
        <v>239</v>
      </c>
      <c r="C67" s="4">
        <v>1145</v>
      </c>
      <c r="D67" s="4">
        <v>1</v>
      </c>
      <c r="E67" s="4">
        <v>1</v>
      </c>
      <c r="F67" s="4" t="s">
        <v>240</v>
      </c>
      <c r="G67" s="4" t="s">
        <v>241</v>
      </c>
      <c r="H67" s="4" t="s">
        <v>241</v>
      </c>
      <c r="I67" s="4" t="s">
        <v>622</v>
      </c>
      <c r="J67" s="4" t="s">
        <v>294</v>
      </c>
      <c r="K67" s="4" t="s">
        <v>249</v>
      </c>
      <c r="L67" s="4" t="s">
        <v>706</v>
      </c>
      <c r="M67" s="5" t="s">
        <v>624</v>
      </c>
      <c r="N67" s="4" t="s">
        <v>706</v>
      </c>
      <c r="O67" s="6">
        <f>108.04</f>
        <v>108.04</v>
      </c>
      <c r="P67" s="4" t="s">
        <v>267</v>
      </c>
      <c r="Q67" s="6">
        <f>1</f>
        <v>1</v>
      </c>
      <c r="R67" s="6">
        <f>34572800</f>
        <v>34572800</v>
      </c>
      <c r="S67" s="5" t="s">
        <v>623</v>
      </c>
      <c r="T67" s="4" t="s">
        <v>265</v>
      </c>
      <c r="U67" s="4" t="s">
        <v>265</v>
      </c>
      <c r="W67" s="6">
        <f>34572799</f>
        <v>34572799</v>
      </c>
      <c r="X67" s="4" t="s">
        <v>292</v>
      </c>
      <c r="Y67" s="4" t="s">
        <v>242</v>
      </c>
      <c r="Z67" s="4" t="s">
        <v>306</v>
      </c>
      <c r="AA67" s="4" t="s">
        <v>241</v>
      </c>
      <c r="AD67" s="4" t="s">
        <v>241</v>
      </c>
      <c r="AF67" s="5" t="s">
        <v>241</v>
      </c>
      <c r="AI67" s="5" t="s">
        <v>244</v>
      </c>
      <c r="AJ67" s="4" t="s">
        <v>245</v>
      </c>
      <c r="AK67" s="4" t="s">
        <v>246</v>
      </c>
      <c r="BA67" s="4" t="s">
        <v>247</v>
      </c>
      <c r="BB67" s="4" t="s">
        <v>241</v>
      </c>
      <c r="BC67" s="4" t="s">
        <v>248</v>
      </c>
      <c r="BD67" s="4" t="s">
        <v>241</v>
      </c>
      <c r="BE67" s="4" t="s">
        <v>250</v>
      </c>
      <c r="BF67" s="4" t="s">
        <v>241</v>
      </c>
      <c r="BJ67" s="4" t="s">
        <v>433</v>
      </c>
      <c r="BK67" s="5" t="s">
        <v>434</v>
      </c>
      <c r="BL67" s="4" t="s">
        <v>253</v>
      </c>
      <c r="BM67" s="4" t="s">
        <v>275</v>
      </c>
      <c r="BN67" s="4" t="s">
        <v>241</v>
      </c>
      <c r="BO67" s="6">
        <f>0</f>
        <v>0</v>
      </c>
      <c r="BP67" s="6">
        <f>0</f>
        <v>0</v>
      </c>
      <c r="BQ67" s="4" t="s">
        <v>255</v>
      </c>
      <c r="BR67" s="4" t="s">
        <v>256</v>
      </c>
      <c r="CF67" s="4" t="s">
        <v>241</v>
      </c>
      <c r="CG67" s="4" t="s">
        <v>241</v>
      </c>
      <c r="CK67" s="4" t="s">
        <v>276</v>
      </c>
      <c r="CL67" s="4" t="s">
        <v>258</v>
      </c>
      <c r="CM67" s="4" t="s">
        <v>241</v>
      </c>
      <c r="CO67" s="4" t="s">
        <v>353</v>
      </c>
      <c r="CP67" s="5" t="s">
        <v>260</v>
      </c>
      <c r="CQ67" s="4" t="s">
        <v>261</v>
      </c>
      <c r="CR67" s="4" t="s">
        <v>262</v>
      </c>
      <c r="CS67" s="4" t="s">
        <v>241</v>
      </c>
      <c r="CT67" s="4" t="s">
        <v>241</v>
      </c>
      <c r="CU67" s="4">
        <v>0</v>
      </c>
      <c r="CV67" s="4" t="s">
        <v>298</v>
      </c>
      <c r="CW67" s="4" t="s">
        <v>705</v>
      </c>
      <c r="CX67" s="4" t="s">
        <v>321</v>
      </c>
      <c r="CZ67" s="6">
        <f>34572800</f>
        <v>34572800</v>
      </c>
      <c r="DA67" s="6">
        <f>0</f>
        <v>0</v>
      </c>
      <c r="DC67" s="4" t="s">
        <v>241</v>
      </c>
      <c r="DD67" s="4" t="s">
        <v>241</v>
      </c>
      <c r="DF67" s="4" t="s">
        <v>241</v>
      </c>
      <c r="DI67" s="4" t="s">
        <v>241</v>
      </c>
      <c r="DJ67" s="4" t="s">
        <v>241</v>
      </c>
      <c r="DK67" s="4" t="s">
        <v>241</v>
      </c>
      <c r="DL67" s="4" t="s">
        <v>241</v>
      </c>
      <c r="DM67" s="4" t="s">
        <v>268</v>
      </c>
      <c r="DN67" s="4" t="s">
        <v>269</v>
      </c>
      <c r="DO67" s="6">
        <f>108.04</f>
        <v>108.04</v>
      </c>
      <c r="DP67" s="4" t="s">
        <v>241</v>
      </c>
      <c r="DQ67" s="4" t="s">
        <v>241</v>
      </c>
      <c r="DR67" s="4" t="s">
        <v>241</v>
      </c>
      <c r="DS67" s="4" t="s">
        <v>241</v>
      </c>
      <c r="DV67" s="4" t="s">
        <v>625</v>
      </c>
      <c r="DW67" s="4" t="s">
        <v>268</v>
      </c>
      <c r="HO67" s="4" t="s">
        <v>281</v>
      </c>
      <c r="HR67" s="4" t="s">
        <v>269</v>
      </c>
      <c r="HS67" s="4" t="s">
        <v>269</v>
      </c>
    </row>
    <row r="68" spans="1:240" x14ac:dyDescent="0.4">
      <c r="A68" s="4">
        <v>2</v>
      </c>
      <c r="B68" s="4" t="s">
        <v>239</v>
      </c>
      <c r="C68" s="4">
        <v>1146</v>
      </c>
      <c r="D68" s="4">
        <v>1</v>
      </c>
      <c r="E68" s="4">
        <v>1</v>
      </c>
      <c r="F68" s="4" t="s">
        <v>240</v>
      </c>
      <c r="G68" s="4" t="s">
        <v>241</v>
      </c>
      <c r="H68" s="4" t="s">
        <v>241</v>
      </c>
      <c r="I68" s="4" t="s">
        <v>622</v>
      </c>
      <c r="J68" s="4" t="s">
        <v>294</v>
      </c>
      <c r="K68" s="4" t="s">
        <v>249</v>
      </c>
      <c r="L68" s="4" t="s">
        <v>621</v>
      </c>
      <c r="M68" s="5" t="s">
        <v>624</v>
      </c>
      <c r="N68" s="4" t="s">
        <v>621</v>
      </c>
      <c r="O68" s="6">
        <f>19.87</f>
        <v>19.87</v>
      </c>
      <c r="P68" s="4" t="s">
        <v>267</v>
      </c>
      <c r="Q68" s="6">
        <f>1</f>
        <v>1</v>
      </c>
      <c r="R68" s="6">
        <f>1808170</f>
        <v>1808170</v>
      </c>
      <c r="S68" s="5" t="s">
        <v>623</v>
      </c>
      <c r="T68" s="4" t="s">
        <v>322</v>
      </c>
      <c r="U68" s="4" t="s">
        <v>285</v>
      </c>
      <c r="W68" s="6">
        <f>1808169</f>
        <v>1808169</v>
      </c>
      <c r="X68" s="4" t="s">
        <v>292</v>
      </c>
      <c r="Y68" s="4" t="s">
        <v>242</v>
      </c>
      <c r="Z68" s="4" t="s">
        <v>306</v>
      </c>
      <c r="AA68" s="4" t="s">
        <v>241</v>
      </c>
      <c r="AD68" s="4" t="s">
        <v>241</v>
      </c>
      <c r="AF68" s="5" t="s">
        <v>241</v>
      </c>
      <c r="AI68" s="5" t="s">
        <v>244</v>
      </c>
      <c r="AJ68" s="4" t="s">
        <v>245</v>
      </c>
      <c r="AK68" s="4" t="s">
        <v>246</v>
      </c>
      <c r="BA68" s="4" t="s">
        <v>247</v>
      </c>
      <c r="BB68" s="4" t="s">
        <v>241</v>
      </c>
      <c r="BC68" s="4" t="s">
        <v>248</v>
      </c>
      <c r="BD68" s="4" t="s">
        <v>241</v>
      </c>
      <c r="BE68" s="4" t="s">
        <v>250</v>
      </c>
      <c r="BF68" s="4" t="s">
        <v>241</v>
      </c>
      <c r="BJ68" s="4" t="s">
        <v>251</v>
      </c>
      <c r="BK68" s="5" t="s">
        <v>252</v>
      </c>
      <c r="BL68" s="4" t="s">
        <v>253</v>
      </c>
      <c r="BM68" s="4" t="s">
        <v>254</v>
      </c>
      <c r="BN68" s="4" t="s">
        <v>241</v>
      </c>
      <c r="BO68" s="6">
        <f>0</f>
        <v>0</v>
      </c>
      <c r="BP68" s="6">
        <f>0</f>
        <v>0</v>
      </c>
      <c r="BQ68" s="4" t="s">
        <v>255</v>
      </c>
      <c r="BR68" s="4" t="s">
        <v>256</v>
      </c>
      <c r="CF68" s="4" t="s">
        <v>241</v>
      </c>
      <c r="CG68" s="4" t="s">
        <v>241</v>
      </c>
      <c r="CK68" s="4" t="s">
        <v>276</v>
      </c>
      <c r="CL68" s="4" t="s">
        <v>258</v>
      </c>
      <c r="CM68" s="4" t="s">
        <v>241</v>
      </c>
      <c r="CO68" s="4" t="s">
        <v>353</v>
      </c>
      <c r="CP68" s="5" t="s">
        <v>260</v>
      </c>
      <c r="CQ68" s="4" t="s">
        <v>261</v>
      </c>
      <c r="CR68" s="4" t="s">
        <v>262</v>
      </c>
      <c r="CS68" s="4" t="s">
        <v>241</v>
      </c>
      <c r="CT68" s="4" t="s">
        <v>241</v>
      </c>
      <c r="CU68" s="4">
        <v>0</v>
      </c>
      <c r="CV68" s="4" t="s">
        <v>298</v>
      </c>
      <c r="CW68" s="4" t="s">
        <v>263</v>
      </c>
      <c r="CX68" s="4" t="s">
        <v>321</v>
      </c>
      <c r="CZ68" s="6">
        <f>1808170</f>
        <v>1808170</v>
      </c>
      <c r="DA68" s="6">
        <f>0</f>
        <v>0</v>
      </c>
      <c r="DC68" s="4" t="s">
        <v>241</v>
      </c>
      <c r="DD68" s="4" t="s">
        <v>241</v>
      </c>
      <c r="DF68" s="4" t="s">
        <v>241</v>
      </c>
      <c r="DI68" s="4" t="s">
        <v>241</v>
      </c>
      <c r="DJ68" s="4" t="s">
        <v>241</v>
      </c>
      <c r="DK68" s="4" t="s">
        <v>241</v>
      </c>
      <c r="DL68" s="4" t="s">
        <v>241</v>
      </c>
      <c r="DM68" s="4" t="s">
        <v>268</v>
      </c>
      <c r="DN68" s="4" t="s">
        <v>269</v>
      </c>
      <c r="DO68" s="6">
        <f>19.87</f>
        <v>19.87</v>
      </c>
      <c r="DP68" s="4" t="s">
        <v>241</v>
      </c>
      <c r="DQ68" s="4" t="s">
        <v>241</v>
      </c>
      <c r="DR68" s="4" t="s">
        <v>241</v>
      </c>
      <c r="DS68" s="4" t="s">
        <v>241</v>
      </c>
      <c r="DV68" s="4" t="s">
        <v>625</v>
      </c>
      <c r="DW68" s="4" t="s">
        <v>289</v>
      </c>
      <c r="HO68" s="4" t="s">
        <v>268</v>
      </c>
      <c r="HR68" s="4" t="s">
        <v>269</v>
      </c>
      <c r="HS68" s="4" t="s">
        <v>269</v>
      </c>
    </row>
    <row r="69" spans="1:240" x14ac:dyDescent="0.4">
      <c r="A69" s="4">
        <v>2</v>
      </c>
      <c r="B69" s="4" t="s">
        <v>239</v>
      </c>
      <c r="C69" s="4">
        <v>1147</v>
      </c>
      <c r="D69" s="4">
        <v>1</v>
      </c>
      <c r="E69" s="4">
        <v>1</v>
      </c>
      <c r="F69" s="4" t="s">
        <v>240</v>
      </c>
      <c r="G69" s="4" t="s">
        <v>241</v>
      </c>
      <c r="H69" s="4" t="s">
        <v>241</v>
      </c>
      <c r="I69" s="4" t="s">
        <v>622</v>
      </c>
      <c r="J69" s="4" t="s">
        <v>294</v>
      </c>
      <c r="K69" s="4" t="s">
        <v>249</v>
      </c>
      <c r="L69" s="4" t="s">
        <v>678</v>
      </c>
      <c r="M69" s="5" t="s">
        <v>624</v>
      </c>
      <c r="N69" s="4" t="s">
        <v>678</v>
      </c>
      <c r="O69" s="6">
        <f>32.4</f>
        <v>32.4</v>
      </c>
      <c r="P69" s="4" t="s">
        <v>267</v>
      </c>
      <c r="Q69" s="6">
        <f>1</f>
        <v>1</v>
      </c>
      <c r="R69" s="6">
        <f>4438800</f>
        <v>4438800</v>
      </c>
      <c r="S69" s="5" t="s">
        <v>623</v>
      </c>
      <c r="T69" s="4" t="s">
        <v>302</v>
      </c>
      <c r="U69" s="4" t="s">
        <v>285</v>
      </c>
      <c r="W69" s="6">
        <f>4438799</f>
        <v>4438799</v>
      </c>
      <c r="X69" s="4" t="s">
        <v>292</v>
      </c>
      <c r="Y69" s="4" t="s">
        <v>242</v>
      </c>
      <c r="Z69" s="4" t="s">
        <v>306</v>
      </c>
      <c r="AA69" s="4" t="s">
        <v>241</v>
      </c>
      <c r="AD69" s="4" t="s">
        <v>241</v>
      </c>
      <c r="AF69" s="5" t="s">
        <v>241</v>
      </c>
      <c r="AI69" s="5" t="s">
        <v>244</v>
      </c>
      <c r="AJ69" s="4" t="s">
        <v>245</v>
      </c>
      <c r="AK69" s="4" t="s">
        <v>246</v>
      </c>
      <c r="BA69" s="4" t="s">
        <v>247</v>
      </c>
      <c r="BB69" s="4" t="s">
        <v>241</v>
      </c>
      <c r="BC69" s="4" t="s">
        <v>248</v>
      </c>
      <c r="BD69" s="4" t="s">
        <v>241</v>
      </c>
      <c r="BE69" s="4" t="s">
        <v>250</v>
      </c>
      <c r="BF69" s="4" t="s">
        <v>241</v>
      </c>
      <c r="BJ69" s="4" t="s">
        <v>399</v>
      </c>
      <c r="BK69" s="5" t="s">
        <v>244</v>
      </c>
      <c r="BL69" s="4" t="s">
        <v>253</v>
      </c>
      <c r="BM69" s="4" t="s">
        <v>254</v>
      </c>
      <c r="BN69" s="4" t="s">
        <v>241</v>
      </c>
      <c r="BO69" s="6">
        <f>0</f>
        <v>0</v>
      </c>
      <c r="BP69" s="6">
        <f>0</f>
        <v>0</v>
      </c>
      <c r="BQ69" s="4" t="s">
        <v>255</v>
      </c>
      <c r="BR69" s="4" t="s">
        <v>256</v>
      </c>
      <c r="CF69" s="4" t="s">
        <v>241</v>
      </c>
      <c r="CG69" s="4" t="s">
        <v>241</v>
      </c>
      <c r="CK69" s="4" t="s">
        <v>276</v>
      </c>
      <c r="CL69" s="4" t="s">
        <v>258</v>
      </c>
      <c r="CM69" s="4" t="s">
        <v>241</v>
      </c>
      <c r="CO69" s="4" t="s">
        <v>353</v>
      </c>
      <c r="CP69" s="5" t="s">
        <v>260</v>
      </c>
      <c r="CQ69" s="4" t="s">
        <v>261</v>
      </c>
      <c r="CR69" s="4" t="s">
        <v>262</v>
      </c>
      <c r="CS69" s="4" t="s">
        <v>241</v>
      </c>
      <c r="CT69" s="4" t="s">
        <v>241</v>
      </c>
      <c r="CU69" s="4">
        <v>0</v>
      </c>
      <c r="CV69" s="4" t="s">
        <v>298</v>
      </c>
      <c r="CW69" s="4" t="s">
        <v>679</v>
      </c>
      <c r="CX69" s="4" t="s">
        <v>321</v>
      </c>
      <c r="CZ69" s="6">
        <f>4438800</f>
        <v>4438800</v>
      </c>
      <c r="DA69" s="6">
        <f>0</f>
        <v>0</v>
      </c>
      <c r="DC69" s="4" t="s">
        <v>241</v>
      </c>
      <c r="DD69" s="4" t="s">
        <v>241</v>
      </c>
      <c r="DF69" s="4" t="s">
        <v>241</v>
      </c>
      <c r="DI69" s="4" t="s">
        <v>241</v>
      </c>
      <c r="DJ69" s="4" t="s">
        <v>241</v>
      </c>
      <c r="DK69" s="4" t="s">
        <v>241</v>
      </c>
      <c r="DL69" s="4" t="s">
        <v>241</v>
      </c>
      <c r="DM69" s="4" t="s">
        <v>268</v>
      </c>
      <c r="DN69" s="4" t="s">
        <v>269</v>
      </c>
      <c r="DO69" s="6">
        <f>32.4</f>
        <v>32.4</v>
      </c>
      <c r="DP69" s="4" t="s">
        <v>241</v>
      </c>
      <c r="DQ69" s="4" t="s">
        <v>241</v>
      </c>
      <c r="DR69" s="4" t="s">
        <v>241</v>
      </c>
      <c r="DS69" s="4" t="s">
        <v>241</v>
      </c>
      <c r="DV69" s="4" t="s">
        <v>625</v>
      </c>
      <c r="DW69" s="4" t="s">
        <v>281</v>
      </c>
      <c r="HO69" s="4" t="s">
        <v>268</v>
      </c>
      <c r="HR69" s="4" t="s">
        <v>269</v>
      </c>
      <c r="HS69" s="4" t="s">
        <v>269</v>
      </c>
    </row>
    <row r="70" spans="1:240" x14ac:dyDescent="0.4">
      <c r="A70" s="4">
        <v>2</v>
      </c>
      <c r="B70" s="4" t="s">
        <v>239</v>
      </c>
      <c r="C70" s="4">
        <v>1148</v>
      </c>
      <c r="D70" s="4">
        <v>1</v>
      </c>
      <c r="E70" s="4">
        <v>3</v>
      </c>
      <c r="F70" s="4" t="s">
        <v>240</v>
      </c>
      <c r="G70" s="4" t="s">
        <v>241</v>
      </c>
      <c r="H70" s="4" t="s">
        <v>241</v>
      </c>
      <c r="I70" s="4" t="s">
        <v>293</v>
      </c>
      <c r="J70" s="4" t="s">
        <v>294</v>
      </c>
      <c r="K70" s="4" t="s">
        <v>249</v>
      </c>
      <c r="L70" s="4" t="s">
        <v>313</v>
      </c>
      <c r="M70" s="5" t="s">
        <v>296</v>
      </c>
      <c r="N70" s="4" t="s">
        <v>312</v>
      </c>
      <c r="O70" s="6">
        <f>52.84</f>
        <v>52.84</v>
      </c>
      <c r="P70" s="4" t="s">
        <v>267</v>
      </c>
      <c r="Q70" s="6">
        <f>6604430</f>
        <v>6604430</v>
      </c>
      <c r="R70" s="6">
        <f>20321280</f>
        <v>20321280</v>
      </c>
      <c r="S70" s="5" t="s">
        <v>307</v>
      </c>
      <c r="T70" s="4" t="s">
        <v>300</v>
      </c>
      <c r="U70" s="4" t="s">
        <v>265</v>
      </c>
      <c r="V70" s="6">
        <f>548674</f>
        <v>548674</v>
      </c>
      <c r="W70" s="6">
        <f>13716850</f>
        <v>13716850</v>
      </c>
      <c r="X70" s="4" t="s">
        <v>292</v>
      </c>
      <c r="Y70" s="4" t="s">
        <v>242</v>
      </c>
      <c r="Z70" s="4" t="s">
        <v>306</v>
      </c>
      <c r="AA70" s="4" t="s">
        <v>241</v>
      </c>
      <c r="AD70" s="4" t="s">
        <v>241</v>
      </c>
      <c r="AE70" s="5" t="s">
        <v>241</v>
      </c>
      <c r="AF70" s="5" t="s">
        <v>241</v>
      </c>
      <c r="AH70" s="5" t="s">
        <v>241</v>
      </c>
      <c r="AI70" s="5" t="s">
        <v>244</v>
      </c>
      <c r="AJ70" s="4" t="s">
        <v>245</v>
      </c>
      <c r="AK70" s="4" t="s">
        <v>246</v>
      </c>
      <c r="AQ70" s="4" t="s">
        <v>241</v>
      </c>
      <c r="AR70" s="4" t="s">
        <v>241</v>
      </c>
      <c r="AS70" s="4" t="s">
        <v>241</v>
      </c>
      <c r="AT70" s="5" t="s">
        <v>241</v>
      </c>
      <c r="AU70" s="5" t="s">
        <v>241</v>
      </c>
      <c r="AV70" s="5" t="s">
        <v>241</v>
      </c>
      <c r="AY70" s="4" t="s">
        <v>271</v>
      </c>
      <c r="AZ70" s="4" t="s">
        <v>271</v>
      </c>
      <c r="BA70" s="4" t="s">
        <v>247</v>
      </c>
      <c r="BB70" s="4" t="s">
        <v>272</v>
      </c>
      <c r="BC70" s="4" t="s">
        <v>248</v>
      </c>
      <c r="BD70" s="4" t="s">
        <v>241</v>
      </c>
      <c r="BE70" s="4" t="s">
        <v>250</v>
      </c>
      <c r="BF70" s="4" t="s">
        <v>241</v>
      </c>
      <c r="BJ70" s="4" t="s">
        <v>273</v>
      </c>
      <c r="BK70" s="5" t="s">
        <v>274</v>
      </c>
      <c r="BL70" s="4" t="s">
        <v>275</v>
      </c>
      <c r="BM70" s="4" t="s">
        <v>275</v>
      </c>
      <c r="BN70" s="4" t="s">
        <v>241</v>
      </c>
      <c r="BO70" s="6">
        <f>0</f>
        <v>0</v>
      </c>
      <c r="BP70" s="6">
        <f>-548674</f>
        <v>-548674</v>
      </c>
      <c r="BQ70" s="4" t="s">
        <v>255</v>
      </c>
      <c r="BR70" s="4" t="s">
        <v>256</v>
      </c>
      <c r="BS70" s="4" t="s">
        <v>241</v>
      </c>
      <c r="BT70" s="4" t="s">
        <v>241</v>
      </c>
      <c r="BU70" s="4" t="s">
        <v>241</v>
      </c>
      <c r="BV70" s="4" t="s">
        <v>241</v>
      </c>
      <c r="CE70" s="4" t="s">
        <v>256</v>
      </c>
      <c r="CF70" s="4" t="s">
        <v>241</v>
      </c>
      <c r="CG70" s="4" t="s">
        <v>241</v>
      </c>
      <c r="CK70" s="4" t="s">
        <v>276</v>
      </c>
      <c r="CL70" s="4" t="s">
        <v>258</v>
      </c>
      <c r="CM70" s="4" t="s">
        <v>241</v>
      </c>
      <c r="CO70" s="4" t="s">
        <v>277</v>
      </c>
      <c r="CP70" s="5" t="s">
        <v>260</v>
      </c>
      <c r="CQ70" s="4" t="s">
        <v>261</v>
      </c>
      <c r="CR70" s="4" t="s">
        <v>262</v>
      </c>
      <c r="CS70" s="4" t="s">
        <v>278</v>
      </c>
      <c r="CT70" s="4" t="s">
        <v>241</v>
      </c>
      <c r="CU70" s="4">
        <v>2.7E-2</v>
      </c>
      <c r="CV70" s="4" t="s">
        <v>298</v>
      </c>
      <c r="CW70" s="4" t="s">
        <v>299</v>
      </c>
      <c r="CX70" s="4" t="s">
        <v>279</v>
      </c>
      <c r="CY70" s="6">
        <f>0</f>
        <v>0</v>
      </c>
      <c r="CZ70" s="6">
        <f>20321280</f>
        <v>20321280</v>
      </c>
      <c r="DA70" s="6">
        <f>6604430</f>
        <v>6604430</v>
      </c>
      <c r="DC70" s="4" t="s">
        <v>241</v>
      </c>
      <c r="DD70" s="4" t="s">
        <v>241</v>
      </c>
      <c r="DF70" s="4" t="s">
        <v>241</v>
      </c>
      <c r="DG70" s="6">
        <f>0</f>
        <v>0</v>
      </c>
      <c r="DI70" s="4" t="s">
        <v>241</v>
      </c>
      <c r="DJ70" s="4" t="s">
        <v>241</v>
      </c>
      <c r="DK70" s="4" t="s">
        <v>241</v>
      </c>
      <c r="DL70" s="4" t="s">
        <v>241</v>
      </c>
      <c r="DM70" s="4" t="s">
        <v>268</v>
      </c>
      <c r="DN70" s="4" t="s">
        <v>269</v>
      </c>
      <c r="DO70" s="6">
        <f>52.84</f>
        <v>52.84</v>
      </c>
      <c r="DP70" s="4" t="s">
        <v>241</v>
      </c>
      <c r="DQ70" s="4" t="s">
        <v>241</v>
      </c>
      <c r="DR70" s="4" t="s">
        <v>241</v>
      </c>
      <c r="DS70" s="4" t="s">
        <v>241</v>
      </c>
      <c r="DV70" s="4" t="s">
        <v>301</v>
      </c>
      <c r="DW70" s="4" t="s">
        <v>268</v>
      </c>
      <c r="GN70" s="4" t="s">
        <v>314</v>
      </c>
      <c r="HO70" s="4" t="s">
        <v>315</v>
      </c>
      <c r="HR70" s="4" t="s">
        <v>269</v>
      </c>
      <c r="HS70" s="4" t="s">
        <v>269</v>
      </c>
      <c r="HT70" s="4" t="s">
        <v>241</v>
      </c>
      <c r="HU70" s="4" t="s">
        <v>241</v>
      </c>
      <c r="HV70" s="4" t="s">
        <v>241</v>
      </c>
      <c r="HW70" s="4" t="s">
        <v>241</v>
      </c>
      <c r="HX70" s="4" t="s">
        <v>241</v>
      </c>
      <c r="HY70" s="4" t="s">
        <v>241</v>
      </c>
      <c r="HZ70" s="4" t="s">
        <v>241</v>
      </c>
      <c r="IA70" s="4" t="s">
        <v>241</v>
      </c>
      <c r="IB70" s="4" t="s">
        <v>241</v>
      </c>
      <c r="IC70" s="4" t="s">
        <v>241</v>
      </c>
      <c r="ID70" s="4" t="s">
        <v>241</v>
      </c>
      <c r="IE70" s="4" t="s">
        <v>241</v>
      </c>
      <c r="IF70" s="4" t="s">
        <v>241</v>
      </c>
    </row>
    <row r="71" spans="1:240" x14ac:dyDescent="0.4">
      <c r="A71" s="4">
        <v>2</v>
      </c>
      <c r="B71" s="4" t="s">
        <v>239</v>
      </c>
      <c r="C71" s="4">
        <v>1149</v>
      </c>
      <c r="D71" s="4">
        <v>1</v>
      </c>
      <c r="E71" s="4">
        <v>3</v>
      </c>
      <c r="F71" s="4" t="s">
        <v>240</v>
      </c>
      <c r="G71" s="4" t="s">
        <v>241</v>
      </c>
      <c r="H71" s="4" t="s">
        <v>241</v>
      </c>
      <c r="I71" s="4" t="s">
        <v>293</v>
      </c>
      <c r="J71" s="4" t="s">
        <v>294</v>
      </c>
      <c r="K71" s="4" t="s">
        <v>249</v>
      </c>
      <c r="L71" s="4" t="s">
        <v>308</v>
      </c>
      <c r="M71" s="5" t="s">
        <v>296</v>
      </c>
      <c r="N71" s="4" t="s">
        <v>305</v>
      </c>
      <c r="O71" s="6">
        <f>18.56</f>
        <v>18.559999999999999</v>
      </c>
      <c r="P71" s="4" t="s">
        <v>267</v>
      </c>
      <c r="Q71" s="6">
        <f>2364545</f>
        <v>2364545</v>
      </c>
      <c r="R71" s="6">
        <f>7275520</f>
        <v>7275520</v>
      </c>
      <c r="S71" s="5" t="s">
        <v>307</v>
      </c>
      <c r="T71" s="4" t="s">
        <v>300</v>
      </c>
      <c r="U71" s="4" t="s">
        <v>265</v>
      </c>
      <c r="V71" s="6">
        <f>196439</f>
        <v>196439</v>
      </c>
      <c r="W71" s="6">
        <f>4910975</f>
        <v>4910975</v>
      </c>
      <c r="X71" s="4" t="s">
        <v>292</v>
      </c>
      <c r="Y71" s="4" t="s">
        <v>242</v>
      </c>
      <c r="Z71" s="4" t="s">
        <v>306</v>
      </c>
      <c r="AA71" s="4" t="s">
        <v>241</v>
      </c>
      <c r="AD71" s="4" t="s">
        <v>241</v>
      </c>
      <c r="AE71" s="5" t="s">
        <v>241</v>
      </c>
      <c r="AF71" s="5" t="s">
        <v>241</v>
      </c>
      <c r="AH71" s="5" t="s">
        <v>241</v>
      </c>
      <c r="AI71" s="5" t="s">
        <v>244</v>
      </c>
      <c r="AJ71" s="4" t="s">
        <v>245</v>
      </c>
      <c r="AK71" s="4" t="s">
        <v>246</v>
      </c>
      <c r="AQ71" s="4" t="s">
        <v>241</v>
      </c>
      <c r="AR71" s="4" t="s">
        <v>241</v>
      </c>
      <c r="AS71" s="4" t="s">
        <v>241</v>
      </c>
      <c r="AT71" s="5" t="s">
        <v>241</v>
      </c>
      <c r="AU71" s="5" t="s">
        <v>241</v>
      </c>
      <c r="AV71" s="5" t="s">
        <v>241</v>
      </c>
      <c r="AY71" s="4" t="s">
        <v>271</v>
      </c>
      <c r="AZ71" s="4" t="s">
        <v>271</v>
      </c>
      <c r="BA71" s="4" t="s">
        <v>247</v>
      </c>
      <c r="BB71" s="4" t="s">
        <v>272</v>
      </c>
      <c r="BC71" s="4" t="s">
        <v>248</v>
      </c>
      <c r="BD71" s="4" t="s">
        <v>241</v>
      </c>
      <c r="BE71" s="4" t="s">
        <v>250</v>
      </c>
      <c r="BF71" s="4" t="s">
        <v>241</v>
      </c>
      <c r="BJ71" s="4" t="s">
        <v>273</v>
      </c>
      <c r="BK71" s="5" t="s">
        <v>274</v>
      </c>
      <c r="BL71" s="4" t="s">
        <v>275</v>
      </c>
      <c r="BM71" s="4" t="s">
        <v>275</v>
      </c>
      <c r="BN71" s="4" t="s">
        <v>241</v>
      </c>
      <c r="BO71" s="6">
        <f>0</f>
        <v>0</v>
      </c>
      <c r="BP71" s="6">
        <f>-196439</f>
        <v>-196439</v>
      </c>
      <c r="BQ71" s="4" t="s">
        <v>255</v>
      </c>
      <c r="BR71" s="4" t="s">
        <v>256</v>
      </c>
      <c r="BS71" s="4" t="s">
        <v>241</v>
      </c>
      <c r="BT71" s="4" t="s">
        <v>241</v>
      </c>
      <c r="BU71" s="4" t="s">
        <v>241</v>
      </c>
      <c r="BV71" s="4" t="s">
        <v>241</v>
      </c>
      <c r="CE71" s="4" t="s">
        <v>256</v>
      </c>
      <c r="CF71" s="4" t="s">
        <v>241</v>
      </c>
      <c r="CG71" s="4" t="s">
        <v>241</v>
      </c>
      <c r="CK71" s="4" t="s">
        <v>276</v>
      </c>
      <c r="CL71" s="4" t="s">
        <v>258</v>
      </c>
      <c r="CM71" s="4" t="s">
        <v>241</v>
      </c>
      <c r="CO71" s="4" t="s">
        <v>277</v>
      </c>
      <c r="CP71" s="5" t="s">
        <v>260</v>
      </c>
      <c r="CQ71" s="4" t="s">
        <v>261</v>
      </c>
      <c r="CR71" s="4" t="s">
        <v>262</v>
      </c>
      <c r="CS71" s="4" t="s">
        <v>278</v>
      </c>
      <c r="CT71" s="4" t="s">
        <v>241</v>
      </c>
      <c r="CU71" s="4">
        <v>2.7E-2</v>
      </c>
      <c r="CV71" s="4" t="s">
        <v>298</v>
      </c>
      <c r="CW71" s="4" t="s">
        <v>299</v>
      </c>
      <c r="CX71" s="4" t="s">
        <v>279</v>
      </c>
      <c r="CY71" s="6">
        <f>0</f>
        <v>0</v>
      </c>
      <c r="CZ71" s="6">
        <f>7275520</f>
        <v>7275520</v>
      </c>
      <c r="DA71" s="6">
        <f>2364545</f>
        <v>2364545</v>
      </c>
      <c r="DC71" s="4" t="s">
        <v>241</v>
      </c>
      <c r="DD71" s="4" t="s">
        <v>241</v>
      </c>
      <c r="DF71" s="4" t="s">
        <v>241</v>
      </c>
      <c r="DG71" s="6">
        <f>0</f>
        <v>0</v>
      </c>
      <c r="DI71" s="4" t="s">
        <v>241</v>
      </c>
      <c r="DJ71" s="4" t="s">
        <v>241</v>
      </c>
      <c r="DK71" s="4" t="s">
        <v>241</v>
      </c>
      <c r="DL71" s="4" t="s">
        <v>241</v>
      </c>
      <c r="DM71" s="4" t="s">
        <v>268</v>
      </c>
      <c r="DN71" s="4" t="s">
        <v>269</v>
      </c>
      <c r="DO71" s="6">
        <f>18.56</f>
        <v>18.559999999999999</v>
      </c>
      <c r="DP71" s="4" t="s">
        <v>241</v>
      </c>
      <c r="DQ71" s="4" t="s">
        <v>241</v>
      </c>
      <c r="DR71" s="4" t="s">
        <v>241</v>
      </c>
      <c r="DS71" s="4" t="s">
        <v>241</v>
      </c>
      <c r="DV71" s="4" t="s">
        <v>301</v>
      </c>
      <c r="DW71" s="4" t="s">
        <v>289</v>
      </c>
      <c r="GN71" s="4" t="s">
        <v>311</v>
      </c>
      <c r="HO71" s="4" t="s">
        <v>310</v>
      </c>
      <c r="HR71" s="4" t="s">
        <v>269</v>
      </c>
      <c r="HS71" s="4" t="s">
        <v>269</v>
      </c>
      <c r="HT71" s="4" t="s">
        <v>241</v>
      </c>
      <c r="HU71" s="4" t="s">
        <v>241</v>
      </c>
      <c r="HV71" s="4" t="s">
        <v>241</v>
      </c>
      <c r="HW71" s="4" t="s">
        <v>241</v>
      </c>
      <c r="HX71" s="4" t="s">
        <v>241</v>
      </c>
      <c r="HY71" s="4" t="s">
        <v>241</v>
      </c>
      <c r="HZ71" s="4" t="s">
        <v>241</v>
      </c>
      <c r="IA71" s="4" t="s">
        <v>241</v>
      </c>
      <c r="IB71" s="4" t="s">
        <v>241</v>
      </c>
      <c r="IC71" s="4" t="s">
        <v>241</v>
      </c>
      <c r="ID71" s="4" t="s">
        <v>241</v>
      </c>
      <c r="IE71" s="4" t="s">
        <v>241</v>
      </c>
      <c r="IF71" s="4" t="s">
        <v>241</v>
      </c>
    </row>
    <row r="72" spans="1:240" x14ac:dyDescent="0.4">
      <c r="A72" s="4">
        <v>2</v>
      </c>
      <c r="B72" s="4" t="s">
        <v>239</v>
      </c>
      <c r="C72" s="4">
        <v>1150</v>
      </c>
      <c r="D72" s="4">
        <v>1</v>
      </c>
      <c r="E72" s="4">
        <v>3</v>
      </c>
      <c r="F72" s="4" t="s">
        <v>240</v>
      </c>
      <c r="G72" s="4" t="s">
        <v>241</v>
      </c>
      <c r="H72" s="4" t="s">
        <v>241</v>
      </c>
      <c r="I72" s="4" t="s">
        <v>293</v>
      </c>
      <c r="J72" s="4" t="s">
        <v>294</v>
      </c>
      <c r="K72" s="4" t="s">
        <v>249</v>
      </c>
      <c r="L72" s="4" t="s">
        <v>308</v>
      </c>
      <c r="M72" s="5" t="s">
        <v>296</v>
      </c>
      <c r="N72" s="4" t="s">
        <v>305</v>
      </c>
      <c r="O72" s="6">
        <f>22.31</f>
        <v>22.31</v>
      </c>
      <c r="P72" s="4" t="s">
        <v>267</v>
      </c>
      <c r="Q72" s="6">
        <f>2842295</f>
        <v>2842295</v>
      </c>
      <c r="R72" s="6">
        <f>8745520</f>
        <v>8745520</v>
      </c>
      <c r="S72" s="5" t="s">
        <v>307</v>
      </c>
      <c r="T72" s="4" t="s">
        <v>300</v>
      </c>
      <c r="U72" s="4" t="s">
        <v>265</v>
      </c>
      <c r="V72" s="6">
        <f>236129</f>
        <v>236129</v>
      </c>
      <c r="W72" s="6">
        <f>5903225</f>
        <v>5903225</v>
      </c>
      <c r="X72" s="4" t="s">
        <v>292</v>
      </c>
      <c r="Y72" s="4" t="s">
        <v>242</v>
      </c>
      <c r="Z72" s="4" t="s">
        <v>306</v>
      </c>
      <c r="AA72" s="4" t="s">
        <v>241</v>
      </c>
      <c r="AD72" s="4" t="s">
        <v>241</v>
      </c>
      <c r="AE72" s="5" t="s">
        <v>241</v>
      </c>
      <c r="AF72" s="5" t="s">
        <v>241</v>
      </c>
      <c r="AH72" s="5" t="s">
        <v>241</v>
      </c>
      <c r="AI72" s="5" t="s">
        <v>244</v>
      </c>
      <c r="AJ72" s="4" t="s">
        <v>245</v>
      </c>
      <c r="AK72" s="4" t="s">
        <v>246</v>
      </c>
      <c r="AQ72" s="4" t="s">
        <v>241</v>
      </c>
      <c r="AR72" s="4" t="s">
        <v>241</v>
      </c>
      <c r="AS72" s="4" t="s">
        <v>241</v>
      </c>
      <c r="AT72" s="5" t="s">
        <v>241</v>
      </c>
      <c r="AU72" s="5" t="s">
        <v>241</v>
      </c>
      <c r="AV72" s="5" t="s">
        <v>241</v>
      </c>
      <c r="AY72" s="4" t="s">
        <v>271</v>
      </c>
      <c r="AZ72" s="4" t="s">
        <v>271</v>
      </c>
      <c r="BA72" s="4" t="s">
        <v>247</v>
      </c>
      <c r="BB72" s="4" t="s">
        <v>272</v>
      </c>
      <c r="BC72" s="4" t="s">
        <v>248</v>
      </c>
      <c r="BD72" s="4" t="s">
        <v>241</v>
      </c>
      <c r="BE72" s="4" t="s">
        <v>250</v>
      </c>
      <c r="BF72" s="4" t="s">
        <v>241</v>
      </c>
      <c r="BJ72" s="4" t="s">
        <v>273</v>
      </c>
      <c r="BK72" s="5" t="s">
        <v>274</v>
      </c>
      <c r="BL72" s="4" t="s">
        <v>275</v>
      </c>
      <c r="BM72" s="4" t="s">
        <v>275</v>
      </c>
      <c r="BN72" s="4" t="s">
        <v>241</v>
      </c>
      <c r="BO72" s="6">
        <f>0</f>
        <v>0</v>
      </c>
      <c r="BP72" s="6">
        <f>-236129</f>
        <v>-236129</v>
      </c>
      <c r="BQ72" s="4" t="s">
        <v>255</v>
      </c>
      <c r="BR72" s="4" t="s">
        <v>256</v>
      </c>
      <c r="BS72" s="4" t="s">
        <v>241</v>
      </c>
      <c r="BT72" s="4" t="s">
        <v>241</v>
      </c>
      <c r="BU72" s="4" t="s">
        <v>241</v>
      </c>
      <c r="BV72" s="4" t="s">
        <v>241</v>
      </c>
      <c r="CE72" s="4" t="s">
        <v>256</v>
      </c>
      <c r="CF72" s="4" t="s">
        <v>241</v>
      </c>
      <c r="CG72" s="4" t="s">
        <v>241</v>
      </c>
      <c r="CK72" s="4" t="s">
        <v>276</v>
      </c>
      <c r="CL72" s="4" t="s">
        <v>258</v>
      </c>
      <c r="CM72" s="4" t="s">
        <v>241</v>
      </c>
      <c r="CO72" s="4" t="s">
        <v>277</v>
      </c>
      <c r="CP72" s="5" t="s">
        <v>260</v>
      </c>
      <c r="CQ72" s="4" t="s">
        <v>261</v>
      </c>
      <c r="CR72" s="4" t="s">
        <v>262</v>
      </c>
      <c r="CS72" s="4" t="s">
        <v>278</v>
      </c>
      <c r="CT72" s="4" t="s">
        <v>241</v>
      </c>
      <c r="CU72" s="4">
        <v>2.7E-2</v>
      </c>
      <c r="CV72" s="4" t="s">
        <v>298</v>
      </c>
      <c r="CW72" s="4" t="s">
        <v>299</v>
      </c>
      <c r="CX72" s="4" t="s">
        <v>279</v>
      </c>
      <c r="CY72" s="6">
        <f>0</f>
        <v>0</v>
      </c>
      <c r="CZ72" s="6">
        <f>8745520</f>
        <v>8745520</v>
      </c>
      <c r="DA72" s="6">
        <f>2842295</f>
        <v>2842295</v>
      </c>
      <c r="DC72" s="4" t="s">
        <v>241</v>
      </c>
      <c r="DD72" s="4" t="s">
        <v>241</v>
      </c>
      <c r="DF72" s="4" t="s">
        <v>241</v>
      </c>
      <c r="DG72" s="6">
        <f>0</f>
        <v>0</v>
      </c>
      <c r="DI72" s="4" t="s">
        <v>241</v>
      </c>
      <c r="DJ72" s="4" t="s">
        <v>241</v>
      </c>
      <c r="DK72" s="4" t="s">
        <v>241</v>
      </c>
      <c r="DL72" s="4" t="s">
        <v>241</v>
      </c>
      <c r="DM72" s="4" t="s">
        <v>268</v>
      </c>
      <c r="DN72" s="4" t="s">
        <v>269</v>
      </c>
      <c r="DO72" s="6">
        <f>22.31</f>
        <v>22.31</v>
      </c>
      <c r="DP72" s="4" t="s">
        <v>241</v>
      </c>
      <c r="DQ72" s="4" t="s">
        <v>241</v>
      </c>
      <c r="DR72" s="4" t="s">
        <v>241</v>
      </c>
      <c r="DS72" s="4" t="s">
        <v>241</v>
      </c>
      <c r="DV72" s="4" t="s">
        <v>301</v>
      </c>
      <c r="DW72" s="4" t="s">
        <v>281</v>
      </c>
      <c r="GN72" s="4" t="s">
        <v>309</v>
      </c>
      <c r="HO72" s="4" t="s">
        <v>310</v>
      </c>
      <c r="HR72" s="4" t="s">
        <v>269</v>
      </c>
      <c r="HS72" s="4" t="s">
        <v>269</v>
      </c>
      <c r="HT72" s="4" t="s">
        <v>241</v>
      </c>
      <c r="HU72" s="4" t="s">
        <v>241</v>
      </c>
      <c r="HV72" s="4" t="s">
        <v>241</v>
      </c>
      <c r="HW72" s="4" t="s">
        <v>241</v>
      </c>
      <c r="HX72" s="4" t="s">
        <v>241</v>
      </c>
      <c r="HY72" s="4" t="s">
        <v>241</v>
      </c>
      <c r="HZ72" s="4" t="s">
        <v>241</v>
      </c>
      <c r="IA72" s="4" t="s">
        <v>241</v>
      </c>
      <c r="IB72" s="4" t="s">
        <v>241</v>
      </c>
      <c r="IC72" s="4" t="s">
        <v>241</v>
      </c>
      <c r="ID72" s="4" t="s">
        <v>241</v>
      </c>
      <c r="IE72" s="4" t="s">
        <v>241</v>
      </c>
      <c r="IF72" s="4" t="s">
        <v>241</v>
      </c>
    </row>
    <row r="73" spans="1:240" x14ac:dyDescent="0.4">
      <c r="A73" s="4">
        <v>2</v>
      </c>
      <c r="B73" s="4" t="s">
        <v>239</v>
      </c>
      <c r="C73" s="4">
        <v>1151</v>
      </c>
      <c r="D73" s="4">
        <v>1</v>
      </c>
      <c r="E73" s="4">
        <v>1</v>
      </c>
      <c r="F73" s="4" t="s">
        <v>240</v>
      </c>
      <c r="G73" s="4" t="s">
        <v>241</v>
      </c>
      <c r="H73" s="4" t="s">
        <v>241</v>
      </c>
      <c r="I73" s="4" t="s">
        <v>293</v>
      </c>
      <c r="J73" s="4" t="s">
        <v>294</v>
      </c>
      <c r="K73" s="4" t="s">
        <v>249</v>
      </c>
      <c r="L73" s="4" t="s">
        <v>687</v>
      </c>
      <c r="M73" s="5" t="s">
        <v>296</v>
      </c>
      <c r="N73" s="4" t="s">
        <v>728</v>
      </c>
      <c r="O73" s="6">
        <f>173</f>
        <v>173</v>
      </c>
      <c r="P73" s="4" t="s">
        <v>267</v>
      </c>
      <c r="Q73" s="6">
        <f>1</f>
        <v>1</v>
      </c>
      <c r="R73" s="6">
        <f>37022000</f>
        <v>37022000</v>
      </c>
      <c r="S73" s="5" t="s">
        <v>695</v>
      </c>
      <c r="T73" s="4" t="s">
        <v>265</v>
      </c>
      <c r="U73" s="4" t="s">
        <v>453</v>
      </c>
      <c r="W73" s="6">
        <f>37021999</f>
        <v>37021999</v>
      </c>
      <c r="X73" s="4" t="s">
        <v>292</v>
      </c>
      <c r="Y73" s="4" t="s">
        <v>242</v>
      </c>
      <c r="Z73" s="4" t="s">
        <v>306</v>
      </c>
      <c r="AA73" s="4" t="s">
        <v>241</v>
      </c>
      <c r="AD73" s="4" t="s">
        <v>241</v>
      </c>
      <c r="AF73" s="5" t="s">
        <v>241</v>
      </c>
      <c r="AI73" s="5" t="s">
        <v>244</v>
      </c>
      <c r="AJ73" s="4" t="s">
        <v>245</v>
      </c>
      <c r="AK73" s="4" t="s">
        <v>246</v>
      </c>
      <c r="BA73" s="4" t="s">
        <v>247</v>
      </c>
      <c r="BB73" s="4" t="s">
        <v>241</v>
      </c>
      <c r="BC73" s="4" t="s">
        <v>248</v>
      </c>
      <c r="BD73" s="4" t="s">
        <v>241</v>
      </c>
      <c r="BE73" s="4" t="s">
        <v>250</v>
      </c>
      <c r="BF73" s="4" t="s">
        <v>241</v>
      </c>
      <c r="BJ73" s="4" t="s">
        <v>433</v>
      </c>
      <c r="BK73" s="5" t="s">
        <v>434</v>
      </c>
      <c r="BL73" s="4" t="s">
        <v>253</v>
      </c>
      <c r="BM73" s="4" t="s">
        <v>254</v>
      </c>
      <c r="BN73" s="4" t="s">
        <v>241</v>
      </c>
      <c r="BO73" s="6">
        <f>0</f>
        <v>0</v>
      </c>
      <c r="BP73" s="6">
        <f>0</f>
        <v>0</v>
      </c>
      <c r="BQ73" s="4" t="s">
        <v>255</v>
      </c>
      <c r="BR73" s="4" t="s">
        <v>256</v>
      </c>
      <c r="CF73" s="4" t="s">
        <v>241</v>
      </c>
      <c r="CG73" s="4" t="s">
        <v>241</v>
      </c>
      <c r="CK73" s="4" t="s">
        <v>276</v>
      </c>
      <c r="CL73" s="4" t="s">
        <v>258</v>
      </c>
      <c r="CM73" s="4" t="s">
        <v>241</v>
      </c>
      <c r="CO73" s="4" t="s">
        <v>452</v>
      </c>
      <c r="CP73" s="5" t="s">
        <v>260</v>
      </c>
      <c r="CQ73" s="4" t="s">
        <v>261</v>
      </c>
      <c r="CR73" s="4" t="s">
        <v>262</v>
      </c>
      <c r="CS73" s="4" t="s">
        <v>241</v>
      </c>
      <c r="CT73" s="4" t="s">
        <v>241</v>
      </c>
      <c r="CU73" s="4">
        <v>0</v>
      </c>
      <c r="CV73" s="4" t="s">
        <v>298</v>
      </c>
      <c r="CW73" s="4" t="s">
        <v>684</v>
      </c>
      <c r="CX73" s="4" t="s">
        <v>321</v>
      </c>
      <c r="CZ73" s="6">
        <f>37022000</f>
        <v>37022000</v>
      </c>
      <c r="DA73" s="6">
        <f>0</f>
        <v>0</v>
      </c>
      <c r="DC73" s="4" t="s">
        <v>241</v>
      </c>
      <c r="DD73" s="4" t="s">
        <v>241</v>
      </c>
      <c r="DF73" s="4" t="s">
        <v>241</v>
      </c>
      <c r="DI73" s="4" t="s">
        <v>241</v>
      </c>
      <c r="DJ73" s="4" t="s">
        <v>241</v>
      </c>
      <c r="DK73" s="4" t="s">
        <v>241</v>
      </c>
      <c r="DL73" s="4" t="s">
        <v>241</v>
      </c>
      <c r="DM73" s="4" t="s">
        <v>268</v>
      </c>
      <c r="DN73" s="4" t="s">
        <v>269</v>
      </c>
      <c r="DO73" s="6">
        <f>173</f>
        <v>173</v>
      </c>
      <c r="DP73" s="4" t="s">
        <v>241</v>
      </c>
      <c r="DQ73" s="4" t="s">
        <v>241</v>
      </c>
      <c r="DR73" s="4" t="s">
        <v>241</v>
      </c>
      <c r="DS73" s="4" t="s">
        <v>241</v>
      </c>
      <c r="DV73" s="4" t="s">
        <v>301</v>
      </c>
      <c r="DW73" s="4" t="s">
        <v>304</v>
      </c>
      <c r="HO73" s="4" t="s">
        <v>268</v>
      </c>
      <c r="HR73" s="4" t="s">
        <v>269</v>
      </c>
      <c r="HS73" s="4" t="s">
        <v>269</v>
      </c>
    </row>
    <row r="74" spans="1:240" x14ac:dyDescent="0.4">
      <c r="A74" s="4">
        <v>2</v>
      </c>
      <c r="B74" s="4" t="s">
        <v>239</v>
      </c>
      <c r="C74" s="4">
        <v>1152</v>
      </c>
      <c r="D74" s="4">
        <v>1</v>
      </c>
      <c r="E74" s="4">
        <v>1</v>
      </c>
      <c r="F74" s="4" t="s">
        <v>240</v>
      </c>
      <c r="G74" s="4" t="s">
        <v>241</v>
      </c>
      <c r="H74" s="4" t="s">
        <v>241</v>
      </c>
      <c r="I74" s="4" t="s">
        <v>293</v>
      </c>
      <c r="J74" s="4" t="s">
        <v>294</v>
      </c>
      <c r="K74" s="4" t="s">
        <v>249</v>
      </c>
      <c r="L74" s="4" t="s">
        <v>621</v>
      </c>
      <c r="M74" s="5" t="s">
        <v>296</v>
      </c>
      <c r="N74" s="4" t="s">
        <v>621</v>
      </c>
      <c r="O74" s="6">
        <f>37.8</f>
        <v>37.799999999999997</v>
      </c>
      <c r="P74" s="4" t="s">
        <v>267</v>
      </c>
      <c r="Q74" s="6">
        <f>1</f>
        <v>1</v>
      </c>
      <c r="R74" s="6">
        <f>2872800</f>
        <v>2872800</v>
      </c>
      <c r="S74" s="5" t="s">
        <v>532</v>
      </c>
      <c r="T74" s="4" t="s">
        <v>322</v>
      </c>
      <c r="U74" s="4" t="s">
        <v>533</v>
      </c>
      <c r="W74" s="6">
        <f>2872799</f>
        <v>2872799</v>
      </c>
      <c r="X74" s="4" t="s">
        <v>292</v>
      </c>
      <c r="Y74" s="4" t="s">
        <v>242</v>
      </c>
      <c r="Z74" s="4" t="s">
        <v>306</v>
      </c>
      <c r="AA74" s="4" t="s">
        <v>241</v>
      </c>
      <c r="AD74" s="4" t="s">
        <v>241</v>
      </c>
      <c r="AF74" s="5" t="s">
        <v>241</v>
      </c>
      <c r="AI74" s="5" t="s">
        <v>244</v>
      </c>
      <c r="AJ74" s="4" t="s">
        <v>245</v>
      </c>
      <c r="AK74" s="4" t="s">
        <v>246</v>
      </c>
      <c r="BA74" s="4" t="s">
        <v>247</v>
      </c>
      <c r="BB74" s="4" t="s">
        <v>241</v>
      </c>
      <c r="BC74" s="4" t="s">
        <v>248</v>
      </c>
      <c r="BD74" s="4" t="s">
        <v>241</v>
      </c>
      <c r="BE74" s="4" t="s">
        <v>250</v>
      </c>
      <c r="BF74" s="4" t="s">
        <v>241</v>
      </c>
      <c r="BJ74" s="4" t="s">
        <v>251</v>
      </c>
      <c r="BK74" s="5" t="s">
        <v>252</v>
      </c>
      <c r="BL74" s="4" t="s">
        <v>253</v>
      </c>
      <c r="BM74" s="4" t="s">
        <v>254</v>
      </c>
      <c r="BN74" s="4" t="s">
        <v>241</v>
      </c>
      <c r="BO74" s="6">
        <f>0</f>
        <v>0</v>
      </c>
      <c r="BP74" s="6">
        <f>0</f>
        <v>0</v>
      </c>
      <c r="BQ74" s="4" t="s">
        <v>255</v>
      </c>
      <c r="BR74" s="4" t="s">
        <v>256</v>
      </c>
      <c r="CF74" s="4" t="s">
        <v>241</v>
      </c>
      <c r="CG74" s="4" t="s">
        <v>241</v>
      </c>
      <c r="CK74" s="4" t="s">
        <v>276</v>
      </c>
      <c r="CL74" s="4" t="s">
        <v>258</v>
      </c>
      <c r="CM74" s="4" t="s">
        <v>241</v>
      </c>
      <c r="CO74" s="4" t="s">
        <v>284</v>
      </c>
      <c r="CP74" s="5" t="s">
        <v>260</v>
      </c>
      <c r="CQ74" s="4" t="s">
        <v>261</v>
      </c>
      <c r="CR74" s="4" t="s">
        <v>262</v>
      </c>
      <c r="CS74" s="4" t="s">
        <v>241</v>
      </c>
      <c r="CT74" s="4" t="s">
        <v>241</v>
      </c>
      <c r="CU74" s="4">
        <v>0</v>
      </c>
      <c r="CV74" s="4" t="s">
        <v>298</v>
      </c>
      <c r="CW74" s="4" t="s">
        <v>263</v>
      </c>
      <c r="CX74" s="4" t="s">
        <v>321</v>
      </c>
      <c r="CZ74" s="6">
        <f>2872800</f>
        <v>2872800</v>
      </c>
      <c r="DA74" s="6">
        <f>0</f>
        <v>0</v>
      </c>
      <c r="DC74" s="4" t="s">
        <v>241</v>
      </c>
      <c r="DD74" s="4" t="s">
        <v>241</v>
      </c>
      <c r="DF74" s="4" t="s">
        <v>241</v>
      </c>
      <c r="DI74" s="4" t="s">
        <v>241</v>
      </c>
      <c r="DJ74" s="4" t="s">
        <v>241</v>
      </c>
      <c r="DK74" s="4" t="s">
        <v>241</v>
      </c>
      <c r="DL74" s="4" t="s">
        <v>241</v>
      </c>
      <c r="DM74" s="4" t="s">
        <v>268</v>
      </c>
      <c r="DN74" s="4" t="s">
        <v>269</v>
      </c>
      <c r="DO74" s="6">
        <f>37.8</f>
        <v>37.799999999999997</v>
      </c>
      <c r="DP74" s="4" t="s">
        <v>241</v>
      </c>
      <c r="DQ74" s="4" t="s">
        <v>241</v>
      </c>
      <c r="DR74" s="4" t="s">
        <v>241</v>
      </c>
      <c r="DS74" s="4" t="s">
        <v>241</v>
      </c>
      <c r="DV74" s="4" t="s">
        <v>301</v>
      </c>
      <c r="DW74" s="4" t="s">
        <v>330</v>
      </c>
      <c r="HO74" s="4" t="s">
        <v>268</v>
      </c>
      <c r="HR74" s="4" t="s">
        <v>269</v>
      </c>
      <c r="HS74" s="4" t="s">
        <v>269</v>
      </c>
    </row>
    <row r="75" spans="1:240" x14ac:dyDescent="0.4">
      <c r="A75" s="4">
        <v>2</v>
      </c>
      <c r="B75" s="4" t="s">
        <v>239</v>
      </c>
      <c r="C75" s="4">
        <v>1153</v>
      </c>
      <c r="D75" s="4">
        <v>1</v>
      </c>
      <c r="E75" s="4">
        <v>1</v>
      </c>
      <c r="F75" s="4" t="s">
        <v>240</v>
      </c>
      <c r="G75" s="4" t="s">
        <v>241</v>
      </c>
      <c r="H75" s="4" t="s">
        <v>241</v>
      </c>
      <c r="I75" s="4" t="s">
        <v>293</v>
      </c>
      <c r="J75" s="4" t="s">
        <v>294</v>
      </c>
      <c r="K75" s="4" t="s">
        <v>249</v>
      </c>
      <c r="L75" s="4" t="s">
        <v>687</v>
      </c>
      <c r="M75" s="5" t="s">
        <v>296</v>
      </c>
      <c r="N75" s="4" t="s">
        <v>727</v>
      </c>
      <c r="O75" s="6">
        <f>345.76</f>
        <v>345.76</v>
      </c>
      <c r="P75" s="4" t="s">
        <v>267</v>
      </c>
      <c r="Q75" s="6">
        <f>1</f>
        <v>1</v>
      </c>
      <c r="R75" s="6">
        <f>20745600</f>
        <v>20745600</v>
      </c>
      <c r="S75" s="5" t="s">
        <v>243</v>
      </c>
      <c r="T75" s="4" t="s">
        <v>265</v>
      </c>
      <c r="U75" s="4" t="s">
        <v>266</v>
      </c>
      <c r="W75" s="6">
        <f>20745599</f>
        <v>20745599</v>
      </c>
      <c r="X75" s="4" t="s">
        <v>292</v>
      </c>
      <c r="Y75" s="4" t="s">
        <v>242</v>
      </c>
      <c r="Z75" s="4" t="s">
        <v>306</v>
      </c>
      <c r="AA75" s="4" t="s">
        <v>241</v>
      </c>
      <c r="AD75" s="4" t="s">
        <v>241</v>
      </c>
      <c r="AF75" s="5" t="s">
        <v>241</v>
      </c>
      <c r="AI75" s="5" t="s">
        <v>244</v>
      </c>
      <c r="AJ75" s="4" t="s">
        <v>245</v>
      </c>
      <c r="AK75" s="4" t="s">
        <v>246</v>
      </c>
      <c r="BA75" s="4" t="s">
        <v>247</v>
      </c>
      <c r="BB75" s="4" t="s">
        <v>241</v>
      </c>
      <c r="BC75" s="4" t="s">
        <v>248</v>
      </c>
      <c r="BD75" s="4" t="s">
        <v>241</v>
      </c>
      <c r="BE75" s="4" t="s">
        <v>250</v>
      </c>
      <c r="BF75" s="4" t="s">
        <v>241</v>
      </c>
      <c r="BJ75" s="4" t="s">
        <v>399</v>
      </c>
      <c r="BK75" s="5" t="s">
        <v>244</v>
      </c>
      <c r="BL75" s="4" t="s">
        <v>253</v>
      </c>
      <c r="BM75" s="4" t="s">
        <v>254</v>
      </c>
      <c r="BN75" s="4" t="s">
        <v>241</v>
      </c>
      <c r="BO75" s="6">
        <f>0</f>
        <v>0</v>
      </c>
      <c r="BP75" s="6">
        <f>0</f>
        <v>0</v>
      </c>
      <c r="BQ75" s="4" t="s">
        <v>255</v>
      </c>
      <c r="BR75" s="4" t="s">
        <v>256</v>
      </c>
      <c r="CF75" s="4" t="s">
        <v>241</v>
      </c>
      <c r="CG75" s="4" t="s">
        <v>241</v>
      </c>
      <c r="CK75" s="4" t="s">
        <v>257</v>
      </c>
      <c r="CL75" s="4" t="s">
        <v>258</v>
      </c>
      <c r="CM75" s="4" t="s">
        <v>241</v>
      </c>
      <c r="CO75" s="4" t="s">
        <v>259</v>
      </c>
      <c r="CP75" s="5" t="s">
        <v>260</v>
      </c>
      <c r="CQ75" s="4" t="s">
        <v>261</v>
      </c>
      <c r="CR75" s="4" t="s">
        <v>262</v>
      </c>
      <c r="CS75" s="4" t="s">
        <v>241</v>
      </c>
      <c r="CT75" s="4" t="s">
        <v>241</v>
      </c>
      <c r="CU75" s="4">
        <v>0</v>
      </c>
      <c r="CV75" s="4" t="s">
        <v>298</v>
      </c>
      <c r="CW75" s="4" t="s">
        <v>684</v>
      </c>
      <c r="CX75" s="4" t="s">
        <v>321</v>
      </c>
      <c r="CZ75" s="6">
        <f>20745600</f>
        <v>20745600</v>
      </c>
      <c r="DA75" s="6">
        <f>0</f>
        <v>0</v>
      </c>
      <c r="DC75" s="4" t="s">
        <v>241</v>
      </c>
      <c r="DD75" s="4" t="s">
        <v>241</v>
      </c>
      <c r="DF75" s="4" t="s">
        <v>241</v>
      </c>
      <c r="DI75" s="4" t="s">
        <v>241</v>
      </c>
      <c r="DJ75" s="4" t="s">
        <v>241</v>
      </c>
      <c r="DK75" s="4" t="s">
        <v>241</v>
      </c>
      <c r="DL75" s="4" t="s">
        <v>241</v>
      </c>
      <c r="DM75" s="4" t="s">
        <v>268</v>
      </c>
      <c r="DN75" s="4" t="s">
        <v>269</v>
      </c>
      <c r="DO75" s="6">
        <f>345.76</f>
        <v>345.76</v>
      </c>
      <c r="DP75" s="4" t="s">
        <v>241</v>
      </c>
      <c r="DQ75" s="4" t="s">
        <v>241</v>
      </c>
      <c r="DR75" s="4" t="s">
        <v>241</v>
      </c>
      <c r="DS75" s="4" t="s">
        <v>241</v>
      </c>
      <c r="DV75" s="4" t="s">
        <v>301</v>
      </c>
      <c r="DW75" s="4" t="s">
        <v>282</v>
      </c>
      <c r="HO75" s="4" t="s">
        <v>268</v>
      </c>
      <c r="HR75" s="4" t="s">
        <v>269</v>
      </c>
      <c r="HS75" s="4" t="s">
        <v>269</v>
      </c>
    </row>
    <row r="76" spans="1:240" x14ac:dyDescent="0.4">
      <c r="A76" s="4">
        <v>2</v>
      </c>
      <c r="B76" s="4" t="s">
        <v>239</v>
      </c>
      <c r="C76" s="4">
        <v>1154</v>
      </c>
      <c r="D76" s="4">
        <v>1</v>
      </c>
      <c r="E76" s="4">
        <v>3</v>
      </c>
      <c r="F76" s="4" t="s">
        <v>240</v>
      </c>
      <c r="G76" s="4" t="s">
        <v>241</v>
      </c>
      <c r="H76" s="4" t="s">
        <v>241</v>
      </c>
      <c r="I76" s="4" t="s">
        <v>293</v>
      </c>
      <c r="J76" s="4" t="s">
        <v>294</v>
      </c>
      <c r="K76" s="4" t="s">
        <v>249</v>
      </c>
      <c r="L76" s="4" t="s">
        <v>678</v>
      </c>
      <c r="M76" s="5" t="s">
        <v>296</v>
      </c>
      <c r="N76" s="4" t="s">
        <v>764</v>
      </c>
      <c r="O76" s="6">
        <f>99.7</f>
        <v>99.7</v>
      </c>
      <c r="P76" s="4" t="s">
        <v>267</v>
      </c>
      <c r="Q76" s="6">
        <f>9030928</f>
        <v>9030928</v>
      </c>
      <c r="R76" s="6">
        <f>23828300</f>
        <v>23828300</v>
      </c>
      <c r="S76" s="5" t="s">
        <v>532</v>
      </c>
      <c r="T76" s="4" t="s">
        <v>300</v>
      </c>
      <c r="U76" s="4" t="s">
        <v>285</v>
      </c>
      <c r="V76" s="6">
        <f>643364</f>
        <v>643364</v>
      </c>
      <c r="W76" s="6">
        <f>14797372</f>
        <v>14797372</v>
      </c>
      <c r="X76" s="4" t="s">
        <v>292</v>
      </c>
      <c r="Y76" s="4" t="s">
        <v>242</v>
      </c>
      <c r="Z76" s="4" t="s">
        <v>306</v>
      </c>
      <c r="AA76" s="4" t="s">
        <v>241</v>
      </c>
      <c r="AD76" s="4" t="s">
        <v>241</v>
      </c>
      <c r="AE76" s="5" t="s">
        <v>241</v>
      </c>
      <c r="AF76" s="5" t="s">
        <v>241</v>
      </c>
      <c r="AH76" s="5" t="s">
        <v>241</v>
      </c>
      <c r="AI76" s="5" t="s">
        <v>244</v>
      </c>
      <c r="AJ76" s="4" t="s">
        <v>245</v>
      </c>
      <c r="AK76" s="4" t="s">
        <v>246</v>
      </c>
      <c r="AQ76" s="4" t="s">
        <v>241</v>
      </c>
      <c r="AR76" s="4" t="s">
        <v>241</v>
      </c>
      <c r="AS76" s="4" t="s">
        <v>241</v>
      </c>
      <c r="AT76" s="5" t="s">
        <v>241</v>
      </c>
      <c r="AU76" s="5" t="s">
        <v>241</v>
      </c>
      <c r="AV76" s="5" t="s">
        <v>241</v>
      </c>
      <c r="AY76" s="4" t="s">
        <v>271</v>
      </c>
      <c r="AZ76" s="4" t="s">
        <v>271</v>
      </c>
      <c r="BA76" s="4" t="s">
        <v>247</v>
      </c>
      <c r="BB76" s="4" t="s">
        <v>272</v>
      </c>
      <c r="BC76" s="4" t="s">
        <v>248</v>
      </c>
      <c r="BD76" s="4" t="s">
        <v>241</v>
      </c>
      <c r="BE76" s="4" t="s">
        <v>250</v>
      </c>
      <c r="BF76" s="4" t="s">
        <v>241</v>
      </c>
      <c r="BJ76" s="4" t="s">
        <v>273</v>
      </c>
      <c r="BK76" s="5" t="s">
        <v>274</v>
      </c>
      <c r="BL76" s="4" t="s">
        <v>275</v>
      </c>
      <c r="BM76" s="4" t="s">
        <v>275</v>
      </c>
      <c r="BN76" s="4" t="s">
        <v>241</v>
      </c>
      <c r="BO76" s="6">
        <f>0</f>
        <v>0</v>
      </c>
      <c r="BP76" s="6">
        <f>-643364</f>
        <v>-643364</v>
      </c>
      <c r="BQ76" s="4" t="s">
        <v>255</v>
      </c>
      <c r="BR76" s="4" t="s">
        <v>256</v>
      </c>
      <c r="BS76" s="4" t="s">
        <v>241</v>
      </c>
      <c r="BT76" s="4" t="s">
        <v>241</v>
      </c>
      <c r="BU76" s="4" t="s">
        <v>241</v>
      </c>
      <c r="BV76" s="4" t="s">
        <v>241</v>
      </c>
      <c r="CE76" s="4" t="s">
        <v>256</v>
      </c>
      <c r="CF76" s="4" t="s">
        <v>241</v>
      </c>
      <c r="CG76" s="4" t="s">
        <v>241</v>
      </c>
      <c r="CK76" s="4" t="s">
        <v>276</v>
      </c>
      <c r="CL76" s="4" t="s">
        <v>258</v>
      </c>
      <c r="CM76" s="4" t="s">
        <v>241</v>
      </c>
      <c r="CO76" s="4" t="s">
        <v>284</v>
      </c>
      <c r="CP76" s="5" t="s">
        <v>260</v>
      </c>
      <c r="CQ76" s="4" t="s">
        <v>261</v>
      </c>
      <c r="CR76" s="4" t="s">
        <v>262</v>
      </c>
      <c r="CS76" s="4" t="s">
        <v>278</v>
      </c>
      <c r="CT76" s="4" t="s">
        <v>241</v>
      </c>
      <c r="CU76" s="4">
        <v>2.7E-2</v>
      </c>
      <c r="CV76" s="4" t="s">
        <v>298</v>
      </c>
      <c r="CW76" s="4" t="s">
        <v>713</v>
      </c>
      <c r="CX76" s="4" t="s">
        <v>683</v>
      </c>
      <c r="CY76" s="6">
        <f>0</f>
        <v>0</v>
      </c>
      <c r="CZ76" s="6">
        <f>23828300</f>
        <v>23828300</v>
      </c>
      <c r="DA76" s="6">
        <f>9030928</f>
        <v>9030928</v>
      </c>
      <c r="DC76" s="4" t="s">
        <v>241</v>
      </c>
      <c r="DD76" s="4" t="s">
        <v>241</v>
      </c>
      <c r="DF76" s="4" t="s">
        <v>241</v>
      </c>
      <c r="DG76" s="6">
        <f>0</f>
        <v>0</v>
      </c>
      <c r="DI76" s="4" t="s">
        <v>241</v>
      </c>
      <c r="DJ76" s="4" t="s">
        <v>241</v>
      </c>
      <c r="DK76" s="4" t="s">
        <v>241</v>
      </c>
      <c r="DL76" s="4" t="s">
        <v>241</v>
      </c>
      <c r="DM76" s="4" t="s">
        <v>268</v>
      </c>
      <c r="DN76" s="4" t="s">
        <v>269</v>
      </c>
      <c r="DO76" s="6">
        <f>99.7</f>
        <v>99.7</v>
      </c>
      <c r="DP76" s="4" t="s">
        <v>241</v>
      </c>
      <c r="DQ76" s="4" t="s">
        <v>241</v>
      </c>
      <c r="DR76" s="4" t="s">
        <v>241</v>
      </c>
      <c r="DS76" s="4" t="s">
        <v>241</v>
      </c>
      <c r="DV76" s="4" t="s">
        <v>301</v>
      </c>
      <c r="DW76" s="4" t="s">
        <v>310</v>
      </c>
      <c r="GN76" s="4" t="s">
        <v>765</v>
      </c>
      <c r="HO76" s="4" t="s">
        <v>310</v>
      </c>
      <c r="HR76" s="4" t="s">
        <v>269</v>
      </c>
      <c r="HS76" s="4" t="s">
        <v>269</v>
      </c>
      <c r="HT76" s="4" t="s">
        <v>241</v>
      </c>
      <c r="HU76" s="4" t="s">
        <v>241</v>
      </c>
      <c r="HV76" s="4" t="s">
        <v>241</v>
      </c>
      <c r="HW76" s="4" t="s">
        <v>241</v>
      </c>
      <c r="HX76" s="4" t="s">
        <v>241</v>
      </c>
      <c r="HY76" s="4" t="s">
        <v>241</v>
      </c>
      <c r="HZ76" s="4" t="s">
        <v>241</v>
      </c>
      <c r="IA76" s="4" t="s">
        <v>241</v>
      </c>
      <c r="IB76" s="4" t="s">
        <v>241</v>
      </c>
      <c r="IC76" s="4" t="s">
        <v>241</v>
      </c>
      <c r="ID76" s="4" t="s">
        <v>241</v>
      </c>
      <c r="IE76" s="4" t="s">
        <v>241</v>
      </c>
      <c r="IF76" s="4" t="s">
        <v>241</v>
      </c>
    </row>
    <row r="77" spans="1:240" x14ac:dyDescent="0.4">
      <c r="A77" s="4">
        <v>2</v>
      </c>
      <c r="B77" s="4" t="s">
        <v>239</v>
      </c>
      <c r="C77" s="4">
        <v>1155</v>
      </c>
      <c r="D77" s="4">
        <v>1</v>
      </c>
      <c r="E77" s="4">
        <v>1</v>
      </c>
      <c r="F77" s="4" t="s">
        <v>240</v>
      </c>
      <c r="G77" s="4" t="s">
        <v>241</v>
      </c>
      <c r="H77" s="4" t="s">
        <v>241</v>
      </c>
      <c r="I77" s="4" t="s">
        <v>293</v>
      </c>
      <c r="J77" s="4" t="s">
        <v>294</v>
      </c>
      <c r="K77" s="4" t="s">
        <v>249</v>
      </c>
      <c r="L77" s="4" t="s">
        <v>621</v>
      </c>
      <c r="M77" s="5" t="s">
        <v>296</v>
      </c>
      <c r="N77" s="4" t="s">
        <v>674</v>
      </c>
      <c r="O77" s="6">
        <f>6.48</f>
        <v>6.48</v>
      </c>
      <c r="P77" s="4" t="s">
        <v>267</v>
      </c>
      <c r="Q77" s="6">
        <f>1</f>
        <v>1</v>
      </c>
      <c r="R77" s="6">
        <f>1321920</f>
        <v>1321920</v>
      </c>
      <c r="S77" s="5" t="s">
        <v>532</v>
      </c>
      <c r="T77" s="4" t="s">
        <v>322</v>
      </c>
      <c r="U77" s="4" t="s">
        <v>533</v>
      </c>
      <c r="W77" s="6">
        <f>1321919</f>
        <v>1321919</v>
      </c>
      <c r="X77" s="4" t="s">
        <v>292</v>
      </c>
      <c r="Y77" s="4" t="s">
        <v>242</v>
      </c>
      <c r="Z77" s="4" t="s">
        <v>306</v>
      </c>
      <c r="AA77" s="4" t="s">
        <v>241</v>
      </c>
      <c r="AD77" s="4" t="s">
        <v>241</v>
      </c>
      <c r="AF77" s="5" t="s">
        <v>241</v>
      </c>
      <c r="AI77" s="5" t="s">
        <v>244</v>
      </c>
      <c r="AJ77" s="4" t="s">
        <v>245</v>
      </c>
      <c r="AK77" s="4" t="s">
        <v>246</v>
      </c>
      <c r="BA77" s="4" t="s">
        <v>247</v>
      </c>
      <c r="BB77" s="4" t="s">
        <v>241</v>
      </c>
      <c r="BC77" s="4" t="s">
        <v>248</v>
      </c>
      <c r="BD77" s="4" t="s">
        <v>241</v>
      </c>
      <c r="BE77" s="4" t="s">
        <v>250</v>
      </c>
      <c r="BF77" s="4" t="s">
        <v>241</v>
      </c>
      <c r="BJ77" s="4" t="s">
        <v>433</v>
      </c>
      <c r="BK77" s="5" t="s">
        <v>434</v>
      </c>
      <c r="BL77" s="4" t="s">
        <v>253</v>
      </c>
      <c r="BM77" s="4" t="s">
        <v>254</v>
      </c>
      <c r="BN77" s="4" t="s">
        <v>241</v>
      </c>
      <c r="BO77" s="6">
        <f>0</f>
        <v>0</v>
      </c>
      <c r="BP77" s="6">
        <f>0</f>
        <v>0</v>
      </c>
      <c r="BQ77" s="4" t="s">
        <v>255</v>
      </c>
      <c r="BR77" s="4" t="s">
        <v>256</v>
      </c>
      <c r="CF77" s="4" t="s">
        <v>241</v>
      </c>
      <c r="CG77" s="4" t="s">
        <v>241</v>
      </c>
      <c r="CK77" s="4" t="s">
        <v>276</v>
      </c>
      <c r="CL77" s="4" t="s">
        <v>258</v>
      </c>
      <c r="CM77" s="4" t="s">
        <v>241</v>
      </c>
      <c r="CO77" s="4" t="s">
        <v>284</v>
      </c>
      <c r="CP77" s="5" t="s">
        <v>260</v>
      </c>
      <c r="CQ77" s="4" t="s">
        <v>261</v>
      </c>
      <c r="CR77" s="4" t="s">
        <v>262</v>
      </c>
      <c r="CS77" s="4" t="s">
        <v>241</v>
      </c>
      <c r="CT77" s="4" t="s">
        <v>241</v>
      </c>
      <c r="CU77" s="4">
        <v>0</v>
      </c>
      <c r="CV77" s="4" t="s">
        <v>298</v>
      </c>
      <c r="CW77" s="4" t="s">
        <v>263</v>
      </c>
      <c r="CX77" s="4" t="s">
        <v>321</v>
      </c>
      <c r="CZ77" s="6">
        <f>1321920</f>
        <v>1321920</v>
      </c>
      <c r="DA77" s="6">
        <f>0</f>
        <v>0</v>
      </c>
      <c r="DC77" s="4" t="s">
        <v>241</v>
      </c>
      <c r="DD77" s="4" t="s">
        <v>241</v>
      </c>
      <c r="DF77" s="4" t="s">
        <v>241</v>
      </c>
      <c r="DI77" s="4" t="s">
        <v>241</v>
      </c>
      <c r="DJ77" s="4" t="s">
        <v>241</v>
      </c>
      <c r="DK77" s="4" t="s">
        <v>241</v>
      </c>
      <c r="DL77" s="4" t="s">
        <v>241</v>
      </c>
      <c r="DM77" s="4" t="s">
        <v>268</v>
      </c>
      <c r="DN77" s="4" t="s">
        <v>269</v>
      </c>
      <c r="DO77" s="6">
        <f>6.48</f>
        <v>6.48</v>
      </c>
      <c r="DP77" s="4" t="s">
        <v>241</v>
      </c>
      <c r="DQ77" s="4" t="s">
        <v>241</v>
      </c>
      <c r="DR77" s="4" t="s">
        <v>241</v>
      </c>
      <c r="DS77" s="4" t="s">
        <v>241</v>
      </c>
      <c r="DV77" s="4" t="s">
        <v>301</v>
      </c>
      <c r="DW77" s="4" t="s">
        <v>315</v>
      </c>
      <c r="HO77" s="4" t="s">
        <v>268</v>
      </c>
      <c r="HR77" s="4" t="s">
        <v>269</v>
      </c>
      <c r="HS77" s="4" t="s">
        <v>269</v>
      </c>
    </row>
    <row r="78" spans="1:240" x14ac:dyDescent="0.4">
      <c r="A78" s="4">
        <v>2</v>
      </c>
      <c r="B78" s="4" t="s">
        <v>239</v>
      </c>
      <c r="C78" s="4">
        <v>1156</v>
      </c>
      <c r="D78" s="4">
        <v>1</v>
      </c>
      <c r="E78" s="4">
        <v>1</v>
      </c>
      <c r="F78" s="4" t="s">
        <v>240</v>
      </c>
      <c r="G78" s="4" t="s">
        <v>241</v>
      </c>
      <c r="H78" s="4" t="s">
        <v>241</v>
      </c>
      <c r="I78" s="4" t="s">
        <v>293</v>
      </c>
      <c r="J78" s="4" t="s">
        <v>294</v>
      </c>
      <c r="K78" s="4" t="s">
        <v>249</v>
      </c>
      <c r="L78" s="4" t="s">
        <v>678</v>
      </c>
      <c r="M78" s="5" t="s">
        <v>296</v>
      </c>
      <c r="N78" s="4" t="s">
        <v>677</v>
      </c>
      <c r="O78" s="6">
        <f>19.44</f>
        <v>19.440000000000001</v>
      </c>
      <c r="P78" s="4" t="s">
        <v>267</v>
      </c>
      <c r="Q78" s="6">
        <f>1</f>
        <v>1</v>
      </c>
      <c r="R78" s="6">
        <f>3207600</f>
        <v>3207600</v>
      </c>
      <c r="S78" s="5" t="s">
        <v>532</v>
      </c>
      <c r="T78" s="4" t="s">
        <v>302</v>
      </c>
      <c r="U78" s="4" t="s">
        <v>302</v>
      </c>
      <c r="W78" s="6">
        <f>3207599</f>
        <v>3207599</v>
      </c>
      <c r="X78" s="4" t="s">
        <v>292</v>
      </c>
      <c r="Y78" s="4" t="s">
        <v>242</v>
      </c>
      <c r="Z78" s="4" t="s">
        <v>306</v>
      </c>
      <c r="AA78" s="4" t="s">
        <v>241</v>
      </c>
      <c r="AD78" s="4" t="s">
        <v>241</v>
      </c>
      <c r="AF78" s="5" t="s">
        <v>241</v>
      </c>
      <c r="AI78" s="5" t="s">
        <v>244</v>
      </c>
      <c r="AJ78" s="4" t="s">
        <v>245</v>
      </c>
      <c r="AK78" s="4" t="s">
        <v>246</v>
      </c>
      <c r="BA78" s="4" t="s">
        <v>247</v>
      </c>
      <c r="BB78" s="4" t="s">
        <v>241</v>
      </c>
      <c r="BC78" s="4" t="s">
        <v>248</v>
      </c>
      <c r="BD78" s="4" t="s">
        <v>241</v>
      </c>
      <c r="BE78" s="4" t="s">
        <v>250</v>
      </c>
      <c r="BF78" s="4" t="s">
        <v>241</v>
      </c>
      <c r="BJ78" s="4" t="s">
        <v>251</v>
      </c>
      <c r="BK78" s="5" t="s">
        <v>252</v>
      </c>
      <c r="BL78" s="4" t="s">
        <v>253</v>
      </c>
      <c r="BM78" s="4" t="s">
        <v>275</v>
      </c>
      <c r="BN78" s="4" t="s">
        <v>241</v>
      </c>
      <c r="BO78" s="6">
        <f>0</f>
        <v>0</v>
      </c>
      <c r="BP78" s="6">
        <f>0</f>
        <v>0</v>
      </c>
      <c r="BQ78" s="4" t="s">
        <v>255</v>
      </c>
      <c r="BR78" s="4" t="s">
        <v>256</v>
      </c>
      <c r="CF78" s="4" t="s">
        <v>241</v>
      </c>
      <c r="CG78" s="4" t="s">
        <v>241</v>
      </c>
      <c r="CK78" s="4" t="s">
        <v>276</v>
      </c>
      <c r="CL78" s="4" t="s">
        <v>258</v>
      </c>
      <c r="CM78" s="4" t="s">
        <v>241</v>
      </c>
      <c r="CO78" s="4" t="s">
        <v>284</v>
      </c>
      <c r="CP78" s="5" t="s">
        <v>260</v>
      </c>
      <c r="CQ78" s="4" t="s">
        <v>261</v>
      </c>
      <c r="CR78" s="4" t="s">
        <v>262</v>
      </c>
      <c r="CS78" s="4" t="s">
        <v>241</v>
      </c>
      <c r="CT78" s="4" t="s">
        <v>241</v>
      </c>
      <c r="CU78" s="4">
        <v>0</v>
      </c>
      <c r="CV78" s="4" t="s">
        <v>298</v>
      </c>
      <c r="CW78" s="4" t="s">
        <v>679</v>
      </c>
      <c r="CX78" s="4" t="s">
        <v>321</v>
      </c>
      <c r="CZ78" s="6">
        <f>3207600</f>
        <v>3207600</v>
      </c>
      <c r="DA78" s="6">
        <f>0</f>
        <v>0</v>
      </c>
      <c r="DC78" s="4" t="s">
        <v>241</v>
      </c>
      <c r="DD78" s="4" t="s">
        <v>241</v>
      </c>
      <c r="DF78" s="4" t="s">
        <v>241</v>
      </c>
      <c r="DI78" s="4" t="s">
        <v>241</v>
      </c>
      <c r="DJ78" s="4" t="s">
        <v>241</v>
      </c>
      <c r="DK78" s="4" t="s">
        <v>241</v>
      </c>
      <c r="DL78" s="4" t="s">
        <v>241</v>
      </c>
      <c r="DM78" s="4" t="s">
        <v>268</v>
      </c>
      <c r="DN78" s="4" t="s">
        <v>269</v>
      </c>
      <c r="DO78" s="6">
        <f>19.44</f>
        <v>19.440000000000001</v>
      </c>
      <c r="DP78" s="4" t="s">
        <v>241</v>
      </c>
      <c r="DQ78" s="4" t="s">
        <v>241</v>
      </c>
      <c r="DR78" s="4" t="s">
        <v>241</v>
      </c>
      <c r="DS78" s="4" t="s">
        <v>241</v>
      </c>
      <c r="DV78" s="4" t="s">
        <v>301</v>
      </c>
      <c r="DW78" s="4" t="s">
        <v>596</v>
      </c>
      <c r="HO78" s="4" t="s">
        <v>304</v>
      </c>
      <c r="HR78" s="4" t="s">
        <v>269</v>
      </c>
      <c r="HS78" s="4" t="s">
        <v>269</v>
      </c>
    </row>
    <row r="79" spans="1:240" x14ac:dyDescent="0.4">
      <c r="A79" s="4">
        <v>2</v>
      </c>
      <c r="B79" s="4" t="s">
        <v>239</v>
      </c>
      <c r="C79" s="4">
        <v>1157</v>
      </c>
      <c r="D79" s="4">
        <v>1</v>
      </c>
      <c r="E79" s="4">
        <v>1</v>
      </c>
      <c r="F79" s="4" t="s">
        <v>240</v>
      </c>
      <c r="G79" s="4" t="s">
        <v>241</v>
      </c>
      <c r="H79" s="4" t="s">
        <v>241</v>
      </c>
      <c r="I79" s="4" t="s">
        <v>293</v>
      </c>
      <c r="J79" s="4" t="s">
        <v>294</v>
      </c>
      <c r="K79" s="4" t="s">
        <v>249</v>
      </c>
      <c r="L79" s="4" t="s">
        <v>678</v>
      </c>
      <c r="M79" s="5" t="s">
        <v>296</v>
      </c>
      <c r="N79" s="4" t="s">
        <v>681</v>
      </c>
      <c r="O79" s="6">
        <f>45</f>
        <v>45</v>
      </c>
      <c r="P79" s="4" t="s">
        <v>267</v>
      </c>
      <c r="Q79" s="6">
        <f>1</f>
        <v>1</v>
      </c>
      <c r="R79" s="6">
        <f>7425000</f>
        <v>7425000</v>
      </c>
      <c r="S79" s="5" t="s">
        <v>532</v>
      </c>
      <c r="T79" s="4" t="s">
        <v>302</v>
      </c>
      <c r="U79" s="4" t="s">
        <v>302</v>
      </c>
      <c r="W79" s="6">
        <f>7424999</f>
        <v>7424999</v>
      </c>
      <c r="X79" s="4" t="s">
        <v>292</v>
      </c>
      <c r="Y79" s="4" t="s">
        <v>242</v>
      </c>
      <c r="Z79" s="4" t="s">
        <v>306</v>
      </c>
      <c r="AA79" s="4" t="s">
        <v>241</v>
      </c>
      <c r="AD79" s="4" t="s">
        <v>241</v>
      </c>
      <c r="AF79" s="5" t="s">
        <v>241</v>
      </c>
      <c r="AI79" s="5" t="s">
        <v>244</v>
      </c>
      <c r="AJ79" s="4" t="s">
        <v>245</v>
      </c>
      <c r="AK79" s="4" t="s">
        <v>246</v>
      </c>
      <c r="BA79" s="4" t="s">
        <v>247</v>
      </c>
      <c r="BB79" s="4" t="s">
        <v>241</v>
      </c>
      <c r="BC79" s="4" t="s">
        <v>248</v>
      </c>
      <c r="BD79" s="4" t="s">
        <v>241</v>
      </c>
      <c r="BE79" s="4" t="s">
        <v>250</v>
      </c>
      <c r="BF79" s="4" t="s">
        <v>241</v>
      </c>
      <c r="BJ79" s="4" t="s">
        <v>399</v>
      </c>
      <c r="BK79" s="5" t="s">
        <v>244</v>
      </c>
      <c r="BL79" s="4" t="s">
        <v>253</v>
      </c>
      <c r="BM79" s="4" t="s">
        <v>275</v>
      </c>
      <c r="BN79" s="4" t="s">
        <v>241</v>
      </c>
      <c r="BO79" s="6">
        <f>0</f>
        <v>0</v>
      </c>
      <c r="BP79" s="6">
        <f>0</f>
        <v>0</v>
      </c>
      <c r="BQ79" s="4" t="s">
        <v>255</v>
      </c>
      <c r="BR79" s="4" t="s">
        <v>256</v>
      </c>
      <c r="CF79" s="4" t="s">
        <v>241</v>
      </c>
      <c r="CG79" s="4" t="s">
        <v>241</v>
      </c>
      <c r="CK79" s="4" t="s">
        <v>276</v>
      </c>
      <c r="CL79" s="4" t="s">
        <v>258</v>
      </c>
      <c r="CM79" s="4" t="s">
        <v>241</v>
      </c>
      <c r="CO79" s="4" t="s">
        <v>284</v>
      </c>
      <c r="CP79" s="5" t="s">
        <v>260</v>
      </c>
      <c r="CQ79" s="4" t="s">
        <v>261</v>
      </c>
      <c r="CR79" s="4" t="s">
        <v>262</v>
      </c>
      <c r="CS79" s="4" t="s">
        <v>241</v>
      </c>
      <c r="CT79" s="4" t="s">
        <v>241</v>
      </c>
      <c r="CU79" s="4">
        <v>0</v>
      </c>
      <c r="CV79" s="4" t="s">
        <v>298</v>
      </c>
      <c r="CW79" s="4" t="s">
        <v>679</v>
      </c>
      <c r="CX79" s="4" t="s">
        <v>321</v>
      </c>
      <c r="CZ79" s="6">
        <f>7425000</f>
        <v>7425000</v>
      </c>
      <c r="DA79" s="6">
        <f>0</f>
        <v>0</v>
      </c>
      <c r="DC79" s="4" t="s">
        <v>241</v>
      </c>
      <c r="DD79" s="4" t="s">
        <v>241</v>
      </c>
      <c r="DF79" s="4" t="s">
        <v>241</v>
      </c>
      <c r="DI79" s="4" t="s">
        <v>241</v>
      </c>
      <c r="DJ79" s="4" t="s">
        <v>241</v>
      </c>
      <c r="DK79" s="4" t="s">
        <v>241</v>
      </c>
      <c r="DL79" s="4" t="s">
        <v>241</v>
      </c>
      <c r="DM79" s="4" t="s">
        <v>268</v>
      </c>
      <c r="DN79" s="4" t="s">
        <v>269</v>
      </c>
      <c r="DO79" s="6">
        <f>45</f>
        <v>45</v>
      </c>
      <c r="DP79" s="4" t="s">
        <v>241</v>
      </c>
      <c r="DQ79" s="4" t="s">
        <v>241</v>
      </c>
      <c r="DR79" s="4" t="s">
        <v>241</v>
      </c>
      <c r="DS79" s="4" t="s">
        <v>241</v>
      </c>
      <c r="DV79" s="4" t="s">
        <v>301</v>
      </c>
      <c r="DW79" s="4" t="s">
        <v>618</v>
      </c>
      <c r="HO79" s="4" t="s">
        <v>304</v>
      </c>
      <c r="HR79" s="4" t="s">
        <v>269</v>
      </c>
      <c r="HS79" s="4" t="s">
        <v>269</v>
      </c>
    </row>
    <row r="80" spans="1:240" x14ac:dyDescent="0.4">
      <c r="A80" s="4">
        <v>2</v>
      </c>
      <c r="B80" s="4" t="s">
        <v>239</v>
      </c>
      <c r="C80" s="4">
        <v>1162</v>
      </c>
      <c r="D80" s="4">
        <v>1</v>
      </c>
      <c r="E80" s="4">
        <v>3</v>
      </c>
      <c r="F80" s="4" t="s">
        <v>240</v>
      </c>
      <c r="G80" s="4" t="s">
        <v>241</v>
      </c>
      <c r="H80" s="4" t="s">
        <v>241</v>
      </c>
      <c r="I80" s="4" t="s">
        <v>293</v>
      </c>
      <c r="J80" s="4" t="s">
        <v>294</v>
      </c>
      <c r="K80" s="4" t="s">
        <v>249</v>
      </c>
      <c r="L80" s="4" t="s">
        <v>576</v>
      </c>
      <c r="M80" s="5" t="s">
        <v>296</v>
      </c>
      <c r="N80" s="4" t="s">
        <v>637</v>
      </c>
      <c r="O80" s="6">
        <f>206.35</f>
        <v>206.35</v>
      </c>
      <c r="P80" s="4" t="s">
        <v>267</v>
      </c>
      <c r="Q80" s="6">
        <f>14195850</f>
        <v>14195850</v>
      </c>
      <c r="R80" s="6">
        <f>74715000</f>
        <v>74715000</v>
      </c>
      <c r="S80" s="5" t="s">
        <v>638</v>
      </c>
      <c r="T80" s="4" t="s">
        <v>300</v>
      </c>
      <c r="U80" s="4" t="s">
        <v>530</v>
      </c>
      <c r="V80" s="6">
        <f>2017305</f>
        <v>2017305</v>
      </c>
      <c r="W80" s="6">
        <f>60519150</f>
        <v>60519150</v>
      </c>
      <c r="X80" s="4" t="s">
        <v>292</v>
      </c>
      <c r="Y80" s="4" t="s">
        <v>242</v>
      </c>
      <c r="Z80" s="4" t="s">
        <v>306</v>
      </c>
      <c r="AA80" s="4" t="s">
        <v>241</v>
      </c>
      <c r="AD80" s="4" t="s">
        <v>241</v>
      </c>
      <c r="AE80" s="5" t="s">
        <v>241</v>
      </c>
      <c r="AF80" s="5" t="s">
        <v>241</v>
      </c>
      <c r="AH80" s="5" t="s">
        <v>241</v>
      </c>
      <c r="AI80" s="5" t="s">
        <v>244</v>
      </c>
      <c r="AJ80" s="4" t="s">
        <v>245</v>
      </c>
      <c r="AK80" s="4" t="s">
        <v>246</v>
      </c>
      <c r="AQ80" s="4" t="s">
        <v>241</v>
      </c>
      <c r="AR80" s="4" t="s">
        <v>241</v>
      </c>
      <c r="AS80" s="4" t="s">
        <v>241</v>
      </c>
      <c r="AT80" s="5" t="s">
        <v>241</v>
      </c>
      <c r="AU80" s="5" t="s">
        <v>241</v>
      </c>
      <c r="AV80" s="5" t="s">
        <v>241</v>
      </c>
      <c r="AY80" s="4" t="s">
        <v>271</v>
      </c>
      <c r="AZ80" s="4" t="s">
        <v>271</v>
      </c>
      <c r="BA80" s="4" t="s">
        <v>247</v>
      </c>
      <c r="BB80" s="4" t="s">
        <v>272</v>
      </c>
      <c r="BC80" s="4" t="s">
        <v>248</v>
      </c>
      <c r="BD80" s="4" t="s">
        <v>241</v>
      </c>
      <c r="BE80" s="4" t="s">
        <v>250</v>
      </c>
      <c r="BF80" s="4" t="s">
        <v>241</v>
      </c>
      <c r="BJ80" s="4" t="s">
        <v>273</v>
      </c>
      <c r="BK80" s="5" t="s">
        <v>274</v>
      </c>
      <c r="BL80" s="4" t="s">
        <v>275</v>
      </c>
      <c r="BM80" s="4" t="s">
        <v>275</v>
      </c>
      <c r="BN80" s="4" t="s">
        <v>241</v>
      </c>
      <c r="BO80" s="6">
        <f>0</f>
        <v>0</v>
      </c>
      <c r="BP80" s="6">
        <f>-2017305</f>
        <v>-2017305</v>
      </c>
      <c r="BQ80" s="4" t="s">
        <v>255</v>
      </c>
      <c r="BR80" s="4" t="s">
        <v>256</v>
      </c>
      <c r="BS80" s="4" t="s">
        <v>241</v>
      </c>
      <c r="BT80" s="4" t="s">
        <v>241</v>
      </c>
      <c r="BU80" s="4" t="s">
        <v>241</v>
      </c>
      <c r="BV80" s="4" t="s">
        <v>241</v>
      </c>
      <c r="CE80" s="4" t="s">
        <v>256</v>
      </c>
      <c r="CF80" s="4" t="s">
        <v>241</v>
      </c>
      <c r="CG80" s="4" t="s">
        <v>241</v>
      </c>
      <c r="CK80" s="4" t="s">
        <v>276</v>
      </c>
      <c r="CL80" s="4" t="s">
        <v>258</v>
      </c>
      <c r="CM80" s="4" t="s">
        <v>241</v>
      </c>
      <c r="CO80" s="4" t="s">
        <v>639</v>
      </c>
      <c r="CP80" s="5" t="s">
        <v>260</v>
      </c>
      <c r="CQ80" s="4" t="s">
        <v>261</v>
      </c>
      <c r="CR80" s="4" t="s">
        <v>262</v>
      </c>
      <c r="CS80" s="4" t="s">
        <v>278</v>
      </c>
      <c r="CT80" s="4" t="s">
        <v>241</v>
      </c>
      <c r="CU80" s="4">
        <v>2.7E-2</v>
      </c>
      <c r="CV80" s="4" t="s">
        <v>298</v>
      </c>
      <c r="CW80" s="4" t="s">
        <v>263</v>
      </c>
      <c r="CX80" s="4" t="s">
        <v>279</v>
      </c>
      <c r="CY80" s="6">
        <f>0</f>
        <v>0</v>
      </c>
      <c r="CZ80" s="6">
        <f>74715000</f>
        <v>74715000</v>
      </c>
      <c r="DA80" s="6">
        <f>14195850</f>
        <v>14195850</v>
      </c>
      <c r="DC80" s="4" t="s">
        <v>241</v>
      </c>
      <c r="DD80" s="4" t="s">
        <v>241</v>
      </c>
      <c r="DF80" s="4" t="s">
        <v>241</v>
      </c>
      <c r="DG80" s="6">
        <f>0</f>
        <v>0</v>
      </c>
      <c r="DI80" s="4" t="s">
        <v>241</v>
      </c>
      <c r="DJ80" s="4" t="s">
        <v>241</v>
      </c>
      <c r="DK80" s="4" t="s">
        <v>241</v>
      </c>
      <c r="DL80" s="4" t="s">
        <v>241</v>
      </c>
      <c r="DM80" s="4" t="s">
        <v>289</v>
      </c>
      <c r="DN80" s="4" t="s">
        <v>269</v>
      </c>
      <c r="DO80" s="6">
        <f>206.35</f>
        <v>206.35</v>
      </c>
      <c r="DP80" s="4" t="s">
        <v>241</v>
      </c>
      <c r="DQ80" s="4" t="s">
        <v>241</v>
      </c>
      <c r="DR80" s="4" t="s">
        <v>241</v>
      </c>
      <c r="DS80" s="4" t="s">
        <v>241</v>
      </c>
      <c r="DV80" s="4" t="s">
        <v>301</v>
      </c>
      <c r="DW80" s="4" t="s">
        <v>322</v>
      </c>
      <c r="GN80" s="4" t="s">
        <v>640</v>
      </c>
      <c r="HO80" s="4" t="s">
        <v>310</v>
      </c>
      <c r="HR80" s="4" t="s">
        <v>269</v>
      </c>
      <c r="HS80" s="4" t="s">
        <v>269</v>
      </c>
      <c r="HT80" s="4" t="s">
        <v>241</v>
      </c>
      <c r="HU80" s="4" t="s">
        <v>241</v>
      </c>
      <c r="HV80" s="4" t="s">
        <v>241</v>
      </c>
      <c r="HW80" s="4" t="s">
        <v>241</v>
      </c>
      <c r="HX80" s="4" t="s">
        <v>241</v>
      </c>
      <c r="HY80" s="4" t="s">
        <v>241</v>
      </c>
      <c r="HZ80" s="4" t="s">
        <v>241</v>
      </c>
      <c r="IA80" s="4" t="s">
        <v>241</v>
      </c>
      <c r="IB80" s="4" t="s">
        <v>241</v>
      </c>
      <c r="IC80" s="4" t="s">
        <v>241</v>
      </c>
      <c r="ID80" s="4" t="s">
        <v>241</v>
      </c>
      <c r="IE80" s="4" t="s">
        <v>241</v>
      </c>
      <c r="IF80" s="4" t="s">
        <v>241</v>
      </c>
    </row>
    <row r="81" spans="1:240" x14ac:dyDescent="0.4">
      <c r="A81" s="4">
        <v>2</v>
      </c>
      <c r="B81" s="4" t="s">
        <v>239</v>
      </c>
      <c r="C81" s="4">
        <v>1163</v>
      </c>
      <c r="D81" s="4">
        <v>1</v>
      </c>
      <c r="E81" s="4">
        <v>3</v>
      </c>
      <c r="F81" s="4" t="s">
        <v>240</v>
      </c>
      <c r="G81" s="4" t="s">
        <v>241</v>
      </c>
      <c r="H81" s="4" t="s">
        <v>241</v>
      </c>
      <c r="I81" s="4" t="s">
        <v>293</v>
      </c>
      <c r="J81" s="4" t="s">
        <v>294</v>
      </c>
      <c r="K81" s="4" t="s">
        <v>249</v>
      </c>
      <c r="L81" s="4" t="s">
        <v>576</v>
      </c>
      <c r="M81" s="5" t="s">
        <v>296</v>
      </c>
      <c r="N81" s="4" t="s">
        <v>766</v>
      </c>
      <c r="O81" s="6">
        <f>93.01</f>
        <v>93.01</v>
      </c>
      <c r="P81" s="4" t="s">
        <v>267</v>
      </c>
      <c r="Q81" s="6">
        <f>7191163</f>
        <v>7191163</v>
      </c>
      <c r="R81" s="6">
        <f>18974040</f>
        <v>18974040</v>
      </c>
      <c r="S81" s="5" t="s">
        <v>532</v>
      </c>
      <c r="T81" s="4" t="s">
        <v>300</v>
      </c>
      <c r="U81" s="4" t="s">
        <v>285</v>
      </c>
      <c r="V81" s="6">
        <f>512299</f>
        <v>512299</v>
      </c>
      <c r="W81" s="6">
        <f>11782877</f>
        <v>11782877</v>
      </c>
      <c r="X81" s="4" t="s">
        <v>292</v>
      </c>
      <c r="Y81" s="4" t="s">
        <v>242</v>
      </c>
      <c r="Z81" s="4" t="s">
        <v>306</v>
      </c>
      <c r="AA81" s="4" t="s">
        <v>241</v>
      </c>
      <c r="AD81" s="4" t="s">
        <v>241</v>
      </c>
      <c r="AE81" s="5" t="s">
        <v>241</v>
      </c>
      <c r="AF81" s="5" t="s">
        <v>241</v>
      </c>
      <c r="AH81" s="5" t="s">
        <v>241</v>
      </c>
      <c r="AI81" s="5" t="s">
        <v>244</v>
      </c>
      <c r="AJ81" s="4" t="s">
        <v>245</v>
      </c>
      <c r="AK81" s="4" t="s">
        <v>246</v>
      </c>
      <c r="AQ81" s="4" t="s">
        <v>241</v>
      </c>
      <c r="AR81" s="4" t="s">
        <v>241</v>
      </c>
      <c r="AS81" s="4" t="s">
        <v>241</v>
      </c>
      <c r="AT81" s="5" t="s">
        <v>241</v>
      </c>
      <c r="AU81" s="5" t="s">
        <v>241</v>
      </c>
      <c r="AV81" s="5" t="s">
        <v>241</v>
      </c>
      <c r="AY81" s="4" t="s">
        <v>271</v>
      </c>
      <c r="AZ81" s="4" t="s">
        <v>271</v>
      </c>
      <c r="BA81" s="4" t="s">
        <v>247</v>
      </c>
      <c r="BB81" s="4" t="s">
        <v>272</v>
      </c>
      <c r="BC81" s="4" t="s">
        <v>248</v>
      </c>
      <c r="BD81" s="4" t="s">
        <v>241</v>
      </c>
      <c r="BE81" s="4" t="s">
        <v>250</v>
      </c>
      <c r="BF81" s="4" t="s">
        <v>241</v>
      </c>
      <c r="BJ81" s="4" t="s">
        <v>273</v>
      </c>
      <c r="BK81" s="5" t="s">
        <v>274</v>
      </c>
      <c r="BL81" s="4" t="s">
        <v>275</v>
      </c>
      <c r="BM81" s="4" t="s">
        <v>275</v>
      </c>
      <c r="BN81" s="4" t="s">
        <v>241</v>
      </c>
      <c r="BO81" s="6">
        <f>0</f>
        <v>0</v>
      </c>
      <c r="BP81" s="6">
        <f>-512299</f>
        <v>-512299</v>
      </c>
      <c r="BQ81" s="4" t="s">
        <v>255</v>
      </c>
      <c r="BR81" s="4" t="s">
        <v>256</v>
      </c>
      <c r="BS81" s="4" t="s">
        <v>241</v>
      </c>
      <c r="BT81" s="4" t="s">
        <v>241</v>
      </c>
      <c r="BU81" s="4" t="s">
        <v>241</v>
      </c>
      <c r="BV81" s="4" t="s">
        <v>241</v>
      </c>
      <c r="CE81" s="4" t="s">
        <v>256</v>
      </c>
      <c r="CF81" s="4" t="s">
        <v>241</v>
      </c>
      <c r="CG81" s="4" t="s">
        <v>241</v>
      </c>
      <c r="CK81" s="4" t="s">
        <v>276</v>
      </c>
      <c r="CL81" s="4" t="s">
        <v>258</v>
      </c>
      <c r="CM81" s="4" t="s">
        <v>241</v>
      </c>
      <c r="CO81" s="4" t="s">
        <v>284</v>
      </c>
      <c r="CP81" s="5" t="s">
        <v>260</v>
      </c>
      <c r="CQ81" s="4" t="s">
        <v>261</v>
      </c>
      <c r="CR81" s="4" t="s">
        <v>262</v>
      </c>
      <c r="CS81" s="4" t="s">
        <v>278</v>
      </c>
      <c r="CT81" s="4" t="s">
        <v>241</v>
      </c>
      <c r="CU81" s="4">
        <v>2.7E-2</v>
      </c>
      <c r="CV81" s="4" t="s">
        <v>298</v>
      </c>
      <c r="CW81" s="4" t="s">
        <v>767</v>
      </c>
      <c r="CX81" s="4" t="s">
        <v>683</v>
      </c>
      <c r="CY81" s="6">
        <f>0</f>
        <v>0</v>
      </c>
      <c r="CZ81" s="6">
        <f>18974040</f>
        <v>18974040</v>
      </c>
      <c r="DA81" s="6">
        <f>7191163</f>
        <v>7191163</v>
      </c>
      <c r="DC81" s="4" t="s">
        <v>241</v>
      </c>
      <c r="DD81" s="4" t="s">
        <v>241</v>
      </c>
      <c r="DF81" s="4" t="s">
        <v>241</v>
      </c>
      <c r="DG81" s="6">
        <f>0</f>
        <v>0</v>
      </c>
      <c r="DI81" s="4" t="s">
        <v>241</v>
      </c>
      <c r="DJ81" s="4" t="s">
        <v>241</v>
      </c>
      <c r="DK81" s="4" t="s">
        <v>241</v>
      </c>
      <c r="DL81" s="4" t="s">
        <v>241</v>
      </c>
      <c r="DM81" s="4" t="s">
        <v>268</v>
      </c>
      <c r="DN81" s="4" t="s">
        <v>269</v>
      </c>
      <c r="DO81" s="6">
        <f>93.01</f>
        <v>93.01</v>
      </c>
      <c r="DP81" s="4" t="s">
        <v>241</v>
      </c>
      <c r="DQ81" s="4" t="s">
        <v>241</v>
      </c>
      <c r="DR81" s="4" t="s">
        <v>241</v>
      </c>
      <c r="DS81" s="4" t="s">
        <v>241</v>
      </c>
      <c r="DV81" s="4" t="s">
        <v>301</v>
      </c>
      <c r="DW81" s="4" t="s">
        <v>408</v>
      </c>
      <c r="GN81" s="4" t="s">
        <v>768</v>
      </c>
      <c r="HO81" s="4" t="s">
        <v>310</v>
      </c>
      <c r="HR81" s="4" t="s">
        <v>269</v>
      </c>
      <c r="HS81" s="4" t="s">
        <v>269</v>
      </c>
      <c r="HT81" s="4" t="s">
        <v>241</v>
      </c>
      <c r="HU81" s="4" t="s">
        <v>241</v>
      </c>
      <c r="HV81" s="4" t="s">
        <v>241</v>
      </c>
      <c r="HW81" s="4" t="s">
        <v>241</v>
      </c>
      <c r="HX81" s="4" t="s">
        <v>241</v>
      </c>
      <c r="HY81" s="4" t="s">
        <v>241</v>
      </c>
      <c r="HZ81" s="4" t="s">
        <v>241</v>
      </c>
      <c r="IA81" s="4" t="s">
        <v>241</v>
      </c>
      <c r="IB81" s="4" t="s">
        <v>241</v>
      </c>
      <c r="IC81" s="4" t="s">
        <v>241</v>
      </c>
      <c r="ID81" s="4" t="s">
        <v>241</v>
      </c>
      <c r="IE81" s="4" t="s">
        <v>241</v>
      </c>
      <c r="IF81" s="4" t="s">
        <v>241</v>
      </c>
    </row>
    <row r="82" spans="1:240" x14ac:dyDescent="0.4">
      <c r="A82" s="4">
        <v>2</v>
      </c>
      <c r="B82" s="4" t="s">
        <v>239</v>
      </c>
      <c r="C82" s="4">
        <v>1164</v>
      </c>
      <c r="D82" s="4">
        <v>1</v>
      </c>
      <c r="E82" s="4">
        <v>3</v>
      </c>
      <c r="F82" s="4" t="s">
        <v>240</v>
      </c>
      <c r="G82" s="4" t="s">
        <v>241</v>
      </c>
      <c r="H82" s="4" t="s">
        <v>241</v>
      </c>
      <c r="I82" s="4" t="s">
        <v>293</v>
      </c>
      <c r="J82" s="4" t="s">
        <v>294</v>
      </c>
      <c r="K82" s="4" t="s">
        <v>249</v>
      </c>
      <c r="L82" s="4" t="s">
        <v>687</v>
      </c>
      <c r="M82" s="5" t="s">
        <v>296</v>
      </c>
      <c r="N82" s="4" t="s">
        <v>756</v>
      </c>
      <c r="O82" s="6">
        <f>184.93</f>
        <v>184.93</v>
      </c>
      <c r="P82" s="4" t="s">
        <v>267</v>
      </c>
      <c r="Q82" s="6">
        <f>14364445</f>
        <v>14364445</v>
      </c>
      <c r="R82" s="6">
        <f>44198270</f>
        <v>44198270</v>
      </c>
      <c r="S82" s="5" t="s">
        <v>307</v>
      </c>
      <c r="T82" s="4" t="s">
        <v>300</v>
      </c>
      <c r="U82" s="4" t="s">
        <v>265</v>
      </c>
      <c r="V82" s="6">
        <f>1193353</f>
        <v>1193353</v>
      </c>
      <c r="W82" s="6">
        <f>29833825</f>
        <v>29833825</v>
      </c>
      <c r="X82" s="4" t="s">
        <v>292</v>
      </c>
      <c r="Y82" s="4" t="s">
        <v>242</v>
      </c>
      <c r="Z82" s="4" t="s">
        <v>306</v>
      </c>
      <c r="AA82" s="4" t="s">
        <v>241</v>
      </c>
      <c r="AD82" s="4" t="s">
        <v>241</v>
      </c>
      <c r="AE82" s="5" t="s">
        <v>241</v>
      </c>
      <c r="AF82" s="5" t="s">
        <v>241</v>
      </c>
      <c r="AH82" s="5" t="s">
        <v>241</v>
      </c>
      <c r="AI82" s="5" t="s">
        <v>244</v>
      </c>
      <c r="AJ82" s="4" t="s">
        <v>245</v>
      </c>
      <c r="AK82" s="4" t="s">
        <v>246</v>
      </c>
      <c r="AQ82" s="4" t="s">
        <v>241</v>
      </c>
      <c r="AR82" s="4" t="s">
        <v>241</v>
      </c>
      <c r="AS82" s="4" t="s">
        <v>241</v>
      </c>
      <c r="AT82" s="5" t="s">
        <v>241</v>
      </c>
      <c r="AU82" s="5" t="s">
        <v>241</v>
      </c>
      <c r="AV82" s="5" t="s">
        <v>241</v>
      </c>
      <c r="AY82" s="4" t="s">
        <v>271</v>
      </c>
      <c r="AZ82" s="4" t="s">
        <v>271</v>
      </c>
      <c r="BA82" s="4" t="s">
        <v>247</v>
      </c>
      <c r="BB82" s="4" t="s">
        <v>272</v>
      </c>
      <c r="BC82" s="4" t="s">
        <v>248</v>
      </c>
      <c r="BD82" s="4" t="s">
        <v>241</v>
      </c>
      <c r="BE82" s="4" t="s">
        <v>250</v>
      </c>
      <c r="BF82" s="4" t="s">
        <v>241</v>
      </c>
      <c r="BJ82" s="4" t="s">
        <v>273</v>
      </c>
      <c r="BK82" s="5" t="s">
        <v>274</v>
      </c>
      <c r="BL82" s="4" t="s">
        <v>275</v>
      </c>
      <c r="BM82" s="4" t="s">
        <v>275</v>
      </c>
      <c r="BN82" s="4" t="s">
        <v>241</v>
      </c>
      <c r="BO82" s="6">
        <f>0</f>
        <v>0</v>
      </c>
      <c r="BP82" s="6">
        <f>-1193353</f>
        <v>-1193353</v>
      </c>
      <c r="BQ82" s="4" t="s">
        <v>255</v>
      </c>
      <c r="BR82" s="4" t="s">
        <v>256</v>
      </c>
      <c r="BS82" s="4" t="s">
        <v>241</v>
      </c>
      <c r="BT82" s="4" t="s">
        <v>241</v>
      </c>
      <c r="BU82" s="4" t="s">
        <v>241</v>
      </c>
      <c r="BV82" s="4" t="s">
        <v>241</v>
      </c>
      <c r="CE82" s="4" t="s">
        <v>256</v>
      </c>
      <c r="CF82" s="4" t="s">
        <v>241</v>
      </c>
      <c r="CG82" s="4" t="s">
        <v>241</v>
      </c>
      <c r="CK82" s="4" t="s">
        <v>276</v>
      </c>
      <c r="CL82" s="4" t="s">
        <v>258</v>
      </c>
      <c r="CM82" s="4" t="s">
        <v>241</v>
      </c>
      <c r="CO82" s="4" t="s">
        <v>277</v>
      </c>
      <c r="CP82" s="5" t="s">
        <v>260</v>
      </c>
      <c r="CQ82" s="4" t="s">
        <v>261</v>
      </c>
      <c r="CR82" s="4" t="s">
        <v>262</v>
      </c>
      <c r="CS82" s="4" t="s">
        <v>278</v>
      </c>
      <c r="CT82" s="4" t="s">
        <v>241</v>
      </c>
      <c r="CU82" s="4">
        <v>2.7E-2</v>
      </c>
      <c r="CV82" s="4" t="s">
        <v>298</v>
      </c>
      <c r="CW82" s="4" t="s">
        <v>705</v>
      </c>
      <c r="CX82" s="4" t="s">
        <v>683</v>
      </c>
      <c r="CY82" s="6">
        <f>0</f>
        <v>0</v>
      </c>
      <c r="CZ82" s="6">
        <f>44198270</f>
        <v>44198270</v>
      </c>
      <c r="DA82" s="6">
        <f>14364445</f>
        <v>14364445</v>
      </c>
      <c r="DC82" s="4" t="s">
        <v>241</v>
      </c>
      <c r="DD82" s="4" t="s">
        <v>241</v>
      </c>
      <c r="DF82" s="4" t="s">
        <v>241</v>
      </c>
      <c r="DG82" s="6">
        <f>0</f>
        <v>0</v>
      </c>
      <c r="DI82" s="4" t="s">
        <v>241</v>
      </c>
      <c r="DJ82" s="4" t="s">
        <v>241</v>
      </c>
      <c r="DK82" s="4" t="s">
        <v>241</v>
      </c>
      <c r="DL82" s="4" t="s">
        <v>241</v>
      </c>
      <c r="DM82" s="4" t="s">
        <v>268</v>
      </c>
      <c r="DN82" s="4" t="s">
        <v>269</v>
      </c>
      <c r="DO82" s="6">
        <f>184.93</f>
        <v>184.93</v>
      </c>
      <c r="DP82" s="4" t="s">
        <v>241</v>
      </c>
      <c r="DQ82" s="4" t="s">
        <v>241</v>
      </c>
      <c r="DR82" s="4" t="s">
        <v>241</v>
      </c>
      <c r="DS82" s="4" t="s">
        <v>241</v>
      </c>
      <c r="DV82" s="4" t="s">
        <v>301</v>
      </c>
      <c r="DW82" s="4" t="s">
        <v>533</v>
      </c>
      <c r="GN82" s="4" t="s">
        <v>757</v>
      </c>
      <c r="HO82" s="4" t="s">
        <v>310</v>
      </c>
      <c r="HR82" s="4" t="s">
        <v>269</v>
      </c>
      <c r="HS82" s="4" t="s">
        <v>269</v>
      </c>
      <c r="HT82" s="4" t="s">
        <v>241</v>
      </c>
      <c r="HU82" s="4" t="s">
        <v>241</v>
      </c>
      <c r="HV82" s="4" t="s">
        <v>241</v>
      </c>
      <c r="HW82" s="4" t="s">
        <v>241</v>
      </c>
      <c r="HX82" s="4" t="s">
        <v>241</v>
      </c>
      <c r="HY82" s="4" t="s">
        <v>241</v>
      </c>
      <c r="HZ82" s="4" t="s">
        <v>241</v>
      </c>
      <c r="IA82" s="4" t="s">
        <v>241</v>
      </c>
      <c r="IB82" s="4" t="s">
        <v>241</v>
      </c>
      <c r="IC82" s="4" t="s">
        <v>241</v>
      </c>
      <c r="ID82" s="4" t="s">
        <v>241</v>
      </c>
      <c r="IE82" s="4" t="s">
        <v>241</v>
      </c>
      <c r="IF82" s="4" t="s">
        <v>241</v>
      </c>
    </row>
    <row r="83" spans="1:240" x14ac:dyDescent="0.4">
      <c r="A83" s="4">
        <v>2</v>
      </c>
      <c r="B83" s="4" t="s">
        <v>239</v>
      </c>
      <c r="C83" s="4">
        <v>1167</v>
      </c>
      <c r="D83" s="4">
        <v>1</v>
      </c>
      <c r="E83" s="4">
        <v>3</v>
      </c>
      <c r="F83" s="4" t="s">
        <v>290</v>
      </c>
      <c r="G83" s="4" t="s">
        <v>241</v>
      </c>
      <c r="H83" s="4" t="s">
        <v>241</v>
      </c>
      <c r="I83" s="4" t="s">
        <v>293</v>
      </c>
      <c r="J83" s="4" t="s">
        <v>294</v>
      </c>
      <c r="K83" s="4" t="s">
        <v>249</v>
      </c>
      <c r="L83" s="4" t="s">
        <v>241</v>
      </c>
      <c r="M83" s="5" t="s">
        <v>296</v>
      </c>
      <c r="N83" s="4" t="s">
        <v>291</v>
      </c>
      <c r="O83" s="6">
        <f>0</f>
        <v>0</v>
      </c>
      <c r="P83" s="4" t="s">
        <v>267</v>
      </c>
      <c r="Q83" s="6">
        <f>15380068</f>
        <v>15380068</v>
      </c>
      <c r="R83" s="6">
        <f>16258000</f>
        <v>16258000</v>
      </c>
      <c r="S83" s="5" t="s">
        <v>295</v>
      </c>
      <c r="T83" s="4" t="s">
        <v>300</v>
      </c>
      <c r="U83" s="4" t="s">
        <v>268</v>
      </c>
      <c r="V83" s="6">
        <f>438966</f>
        <v>438966</v>
      </c>
      <c r="W83" s="6">
        <f>877932</f>
        <v>877932</v>
      </c>
      <c r="X83" s="4" t="s">
        <v>292</v>
      </c>
      <c r="Y83" s="4" t="s">
        <v>242</v>
      </c>
      <c r="Z83" s="4" t="s">
        <v>241</v>
      </c>
      <c r="AA83" s="4" t="s">
        <v>241</v>
      </c>
      <c r="AD83" s="4" t="s">
        <v>241</v>
      </c>
      <c r="AE83" s="5" t="s">
        <v>241</v>
      </c>
      <c r="AF83" s="5" t="s">
        <v>241</v>
      </c>
      <c r="AH83" s="5" t="s">
        <v>241</v>
      </c>
      <c r="AI83" s="5" t="s">
        <v>244</v>
      </c>
      <c r="AJ83" s="4" t="s">
        <v>245</v>
      </c>
      <c r="AK83" s="4" t="s">
        <v>246</v>
      </c>
      <c r="AQ83" s="4" t="s">
        <v>241</v>
      </c>
      <c r="AR83" s="4" t="s">
        <v>241</v>
      </c>
      <c r="AS83" s="4" t="s">
        <v>241</v>
      </c>
      <c r="AT83" s="5" t="s">
        <v>241</v>
      </c>
      <c r="AU83" s="5" t="s">
        <v>241</v>
      </c>
      <c r="AV83" s="5" t="s">
        <v>241</v>
      </c>
      <c r="AY83" s="4" t="s">
        <v>271</v>
      </c>
      <c r="AZ83" s="4" t="s">
        <v>271</v>
      </c>
      <c r="BA83" s="4" t="s">
        <v>247</v>
      </c>
      <c r="BB83" s="4" t="s">
        <v>272</v>
      </c>
      <c r="BC83" s="4" t="s">
        <v>248</v>
      </c>
      <c r="BD83" s="4" t="s">
        <v>241</v>
      </c>
      <c r="BE83" s="4" t="s">
        <v>250</v>
      </c>
      <c r="BF83" s="4" t="s">
        <v>241</v>
      </c>
      <c r="BJ83" s="4" t="s">
        <v>273</v>
      </c>
      <c r="BK83" s="5" t="s">
        <v>274</v>
      </c>
      <c r="BL83" s="4" t="s">
        <v>275</v>
      </c>
      <c r="BM83" s="4" t="s">
        <v>275</v>
      </c>
      <c r="BN83" s="4" t="s">
        <v>241</v>
      </c>
      <c r="BP83" s="6">
        <f>-438966</f>
        <v>-438966</v>
      </c>
      <c r="BQ83" s="4" t="s">
        <v>255</v>
      </c>
      <c r="BR83" s="4" t="s">
        <v>256</v>
      </c>
      <c r="BS83" s="4" t="s">
        <v>241</v>
      </c>
      <c r="BT83" s="4" t="s">
        <v>241</v>
      </c>
      <c r="BU83" s="4" t="s">
        <v>241</v>
      </c>
      <c r="BV83" s="4" t="s">
        <v>241</v>
      </c>
      <c r="CE83" s="4" t="s">
        <v>256</v>
      </c>
      <c r="CF83" s="4" t="s">
        <v>241</v>
      </c>
      <c r="CG83" s="4" t="s">
        <v>241</v>
      </c>
      <c r="CK83" s="4" t="s">
        <v>276</v>
      </c>
      <c r="CL83" s="4" t="s">
        <v>258</v>
      </c>
      <c r="CM83" s="4" t="s">
        <v>241</v>
      </c>
      <c r="CO83" s="4" t="s">
        <v>297</v>
      </c>
      <c r="CP83" s="5" t="s">
        <v>260</v>
      </c>
      <c r="CQ83" s="4" t="s">
        <v>261</v>
      </c>
      <c r="CR83" s="4" t="s">
        <v>262</v>
      </c>
      <c r="CS83" s="4" t="s">
        <v>278</v>
      </c>
      <c r="CT83" s="4" t="s">
        <v>241</v>
      </c>
      <c r="CU83" s="4">
        <v>2.7E-2</v>
      </c>
      <c r="CV83" s="4" t="s">
        <v>298</v>
      </c>
      <c r="CW83" s="4" t="s">
        <v>299</v>
      </c>
      <c r="CX83" s="4" t="s">
        <v>279</v>
      </c>
      <c r="CY83" s="6">
        <f>0</f>
        <v>0</v>
      </c>
      <c r="CZ83" s="6">
        <f>16258000</f>
        <v>16258000</v>
      </c>
      <c r="DA83" s="6">
        <f>15380068</f>
        <v>15380068</v>
      </c>
      <c r="DC83" s="4" t="s">
        <v>241</v>
      </c>
      <c r="DD83" s="4" t="s">
        <v>241</v>
      </c>
      <c r="DF83" s="4" t="s">
        <v>241</v>
      </c>
      <c r="DG83" s="6">
        <f>0</f>
        <v>0</v>
      </c>
      <c r="DI83" s="4" t="s">
        <v>241</v>
      </c>
      <c r="DJ83" s="4" t="s">
        <v>241</v>
      </c>
      <c r="DK83" s="4" t="s">
        <v>241</v>
      </c>
      <c r="DL83" s="4" t="s">
        <v>241</v>
      </c>
      <c r="DM83" s="4" t="s">
        <v>269</v>
      </c>
      <c r="DN83" s="4" t="s">
        <v>269</v>
      </c>
      <c r="DO83" s="6" t="s">
        <v>241</v>
      </c>
      <c r="DP83" s="4" t="s">
        <v>241</v>
      </c>
      <c r="DQ83" s="4" t="s">
        <v>241</v>
      </c>
      <c r="DR83" s="4" t="s">
        <v>241</v>
      </c>
      <c r="DS83" s="4" t="s">
        <v>241</v>
      </c>
      <c r="DV83" s="4" t="s">
        <v>301</v>
      </c>
      <c r="DW83" s="4" t="s">
        <v>302</v>
      </c>
      <c r="GN83" s="4" t="s">
        <v>303</v>
      </c>
      <c r="HO83" s="4" t="s">
        <v>304</v>
      </c>
      <c r="HR83" s="4" t="s">
        <v>269</v>
      </c>
      <c r="HS83" s="4" t="s">
        <v>269</v>
      </c>
      <c r="HT83" s="4" t="s">
        <v>241</v>
      </c>
      <c r="HU83" s="4" t="s">
        <v>241</v>
      </c>
      <c r="HV83" s="4" t="s">
        <v>241</v>
      </c>
      <c r="HW83" s="4" t="s">
        <v>241</v>
      </c>
      <c r="HX83" s="4" t="s">
        <v>241</v>
      </c>
      <c r="HY83" s="4" t="s">
        <v>241</v>
      </c>
      <c r="HZ83" s="4" t="s">
        <v>241</v>
      </c>
      <c r="IA83" s="4" t="s">
        <v>241</v>
      </c>
      <c r="IB83" s="4" t="s">
        <v>241</v>
      </c>
      <c r="IC83" s="4" t="s">
        <v>241</v>
      </c>
      <c r="ID83" s="4" t="s">
        <v>241</v>
      </c>
      <c r="IE83" s="4" t="s">
        <v>241</v>
      </c>
      <c r="IF83" s="4" t="s">
        <v>241</v>
      </c>
    </row>
    <row r="84" spans="1:240" x14ac:dyDescent="0.4">
      <c r="A84" s="4">
        <v>2</v>
      </c>
      <c r="B84" s="4" t="s">
        <v>239</v>
      </c>
      <c r="C84" s="4">
        <v>1168</v>
      </c>
      <c r="D84" s="4">
        <v>1</v>
      </c>
      <c r="E84" s="4">
        <v>1</v>
      </c>
      <c r="F84" s="4" t="s">
        <v>240</v>
      </c>
      <c r="G84" s="4" t="s">
        <v>241</v>
      </c>
      <c r="H84" s="4" t="s">
        <v>241</v>
      </c>
      <c r="I84" s="4" t="s">
        <v>541</v>
      </c>
      <c r="J84" s="4" t="s">
        <v>294</v>
      </c>
      <c r="K84" s="4" t="s">
        <v>249</v>
      </c>
      <c r="L84" s="4" t="s">
        <v>308</v>
      </c>
      <c r="M84" s="5" t="s">
        <v>542</v>
      </c>
      <c r="N84" s="4" t="s">
        <v>308</v>
      </c>
      <c r="O84" s="6">
        <f>11.21</f>
        <v>11.21</v>
      </c>
      <c r="P84" s="4" t="s">
        <v>267</v>
      </c>
      <c r="Q84" s="6">
        <f>1</f>
        <v>1</v>
      </c>
      <c r="R84" s="6">
        <f>1121000</f>
        <v>1121000</v>
      </c>
      <c r="S84" s="5" t="s">
        <v>243</v>
      </c>
      <c r="T84" s="4" t="s">
        <v>355</v>
      </c>
      <c r="U84" s="4" t="s">
        <v>266</v>
      </c>
      <c r="W84" s="6">
        <f>1120999</f>
        <v>1120999</v>
      </c>
      <c r="X84" s="4" t="s">
        <v>292</v>
      </c>
      <c r="Y84" s="4" t="s">
        <v>242</v>
      </c>
      <c r="Z84" s="4" t="s">
        <v>306</v>
      </c>
      <c r="AA84" s="4" t="s">
        <v>241</v>
      </c>
      <c r="AD84" s="4" t="s">
        <v>241</v>
      </c>
      <c r="AF84" s="5" t="s">
        <v>241</v>
      </c>
      <c r="AI84" s="5" t="s">
        <v>244</v>
      </c>
      <c r="AJ84" s="4" t="s">
        <v>245</v>
      </c>
      <c r="AK84" s="4" t="s">
        <v>246</v>
      </c>
      <c r="BA84" s="4" t="s">
        <v>247</v>
      </c>
      <c r="BB84" s="4" t="s">
        <v>241</v>
      </c>
      <c r="BC84" s="4" t="s">
        <v>248</v>
      </c>
      <c r="BD84" s="4" t="s">
        <v>241</v>
      </c>
      <c r="BE84" s="4" t="s">
        <v>250</v>
      </c>
      <c r="BF84" s="4" t="s">
        <v>241</v>
      </c>
      <c r="BJ84" s="4" t="s">
        <v>251</v>
      </c>
      <c r="BK84" s="5" t="s">
        <v>252</v>
      </c>
      <c r="BL84" s="4" t="s">
        <v>253</v>
      </c>
      <c r="BM84" s="4" t="s">
        <v>254</v>
      </c>
      <c r="BN84" s="4" t="s">
        <v>241</v>
      </c>
      <c r="BO84" s="6">
        <f>0</f>
        <v>0</v>
      </c>
      <c r="BP84" s="6">
        <f>0</f>
        <v>0</v>
      </c>
      <c r="BQ84" s="4" t="s">
        <v>255</v>
      </c>
      <c r="BR84" s="4" t="s">
        <v>256</v>
      </c>
      <c r="CF84" s="4" t="s">
        <v>241</v>
      </c>
      <c r="CG84" s="4" t="s">
        <v>241</v>
      </c>
      <c r="CK84" s="4" t="s">
        <v>257</v>
      </c>
      <c r="CL84" s="4" t="s">
        <v>258</v>
      </c>
      <c r="CM84" s="4" t="s">
        <v>241</v>
      </c>
      <c r="CO84" s="4" t="s">
        <v>259</v>
      </c>
      <c r="CP84" s="5" t="s">
        <v>260</v>
      </c>
      <c r="CQ84" s="4" t="s">
        <v>261</v>
      </c>
      <c r="CR84" s="4" t="s">
        <v>262</v>
      </c>
      <c r="CS84" s="4" t="s">
        <v>241</v>
      </c>
      <c r="CT84" s="4" t="s">
        <v>241</v>
      </c>
      <c r="CU84" s="4">
        <v>0</v>
      </c>
      <c r="CV84" s="4" t="s">
        <v>298</v>
      </c>
      <c r="CW84" s="4" t="s">
        <v>299</v>
      </c>
      <c r="CX84" s="4" t="s">
        <v>354</v>
      </c>
      <c r="CZ84" s="6">
        <f>1121000</f>
        <v>1121000</v>
      </c>
      <c r="DA84" s="6">
        <f>0</f>
        <v>0</v>
      </c>
      <c r="DC84" s="4" t="s">
        <v>241</v>
      </c>
      <c r="DD84" s="4" t="s">
        <v>241</v>
      </c>
      <c r="DF84" s="4" t="s">
        <v>241</v>
      </c>
      <c r="DI84" s="4" t="s">
        <v>241</v>
      </c>
      <c r="DJ84" s="4" t="s">
        <v>241</v>
      </c>
      <c r="DK84" s="4" t="s">
        <v>241</v>
      </c>
      <c r="DL84" s="4" t="s">
        <v>241</v>
      </c>
      <c r="DM84" s="4" t="s">
        <v>268</v>
      </c>
      <c r="DN84" s="4" t="s">
        <v>269</v>
      </c>
      <c r="DO84" s="6">
        <f>11.21</f>
        <v>11.21</v>
      </c>
      <c r="DP84" s="4" t="s">
        <v>241</v>
      </c>
      <c r="DQ84" s="4" t="s">
        <v>241</v>
      </c>
      <c r="DR84" s="4" t="s">
        <v>241</v>
      </c>
      <c r="DS84" s="4" t="s">
        <v>241</v>
      </c>
      <c r="DV84" s="4" t="s">
        <v>543</v>
      </c>
      <c r="DW84" s="4" t="s">
        <v>268</v>
      </c>
      <c r="HO84" s="4" t="s">
        <v>268</v>
      </c>
      <c r="HR84" s="4" t="s">
        <v>269</v>
      </c>
      <c r="HS84" s="4" t="s">
        <v>269</v>
      </c>
    </row>
    <row r="85" spans="1:240" x14ac:dyDescent="0.4">
      <c r="A85" s="4">
        <v>2</v>
      </c>
      <c r="B85" s="4" t="s">
        <v>239</v>
      </c>
      <c r="C85" s="4">
        <v>1169</v>
      </c>
      <c r="D85" s="4">
        <v>1</v>
      </c>
      <c r="E85" s="4">
        <v>1</v>
      </c>
      <c r="F85" s="4" t="s">
        <v>240</v>
      </c>
      <c r="G85" s="4" t="s">
        <v>241</v>
      </c>
      <c r="H85" s="4" t="s">
        <v>241</v>
      </c>
      <c r="I85" s="4" t="s">
        <v>544</v>
      </c>
      <c r="J85" s="4" t="s">
        <v>545</v>
      </c>
      <c r="K85" s="4" t="s">
        <v>249</v>
      </c>
      <c r="L85" s="4" t="s">
        <v>308</v>
      </c>
      <c r="M85" s="5" t="s">
        <v>546</v>
      </c>
      <c r="N85" s="4" t="s">
        <v>308</v>
      </c>
      <c r="O85" s="6">
        <f>21.84</f>
        <v>21.84</v>
      </c>
      <c r="P85" s="4" t="s">
        <v>267</v>
      </c>
      <c r="Q85" s="6">
        <f>1</f>
        <v>1</v>
      </c>
      <c r="R85" s="6">
        <f>2074800</f>
        <v>2074800</v>
      </c>
      <c r="S85" s="5" t="s">
        <v>243</v>
      </c>
      <c r="T85" s="4" t="s">
        <v>322</v>
      </c>
      <c r="U85" s="4" t="s">
        <v>266</v>
      </c>
      <c r="W85" s="6">
        <f>2074799</f>
        <v>2074799</v>
      </c>
      <c r="X85" s="4" t="s">
        <v>292</v>
      </c>
      <c r="Y85" s="4" t="s">
        <v>242</v>
      </c>
      <c r="Z85" s="4" t="s">
        <v>306</v>
      </c>
      <c r="AA85" s="4" t="s">
        <v>241</v>
      </c>
      <c r="AD85" s="4" t="s">
        <v>241</v>
      </c>
      <c r="AF85" s="5" t="s">
        <v>241</v>
      </c>
      <c r="AI85" s="5" t="s">
        <v>244</v>
      </c>
      <c r="AJ85" s="4" t="s">
        <v>245</v>
      </c>
      <c r="AK85" s="4" t="s">
        <v>246</v>
      </c>
      <c r="BA85" s="4" t="s">
        <v>247</v>
      </c>
      <c r="BB85" s="4" t="s">
        <v>241</v>
      </c>
      <c r="BC85" s="4" t="s">
        <v>248</v>
      </c>
      <c r="BD85" s="4" t="s">
        <v>241</v>
      </c>
      <c r="BE85" s="4" t="s">
        <v>250</v>
      </c>
      <c r="BF85" s="4" t="s">
        <v>241</v>
      </c>
      <c r="BJ85" s="4" t="s">
        <v>399</v>
      </c>
      <c r="BK85" s="5" t="s">
        <v>244</v>
      </c>
      <c r="BL85" s="4" t="s">
        <v>253</v>
      </c>
      <c r="BM85" s="4" t="s">
        <v>254</v>
      </c>
      <c r="BN85" s="4" t="s">
        <v>241</v>
      </c>
      <c r="BO85" s="6">
        <f>0</f>
        <v>0</v>
      </c>
      <c r="BP85" s="6">
        <f>0</f>
        <v>0</v>
      </c>
      <c r="BQ85" s="4" t="s">
        <v>255</v>
      </c>
      <c r="BR85" s="4" t="s">
        <v>256</v>
      </c>
      <c r="CF85" s="4" t="s">
        <v>241</v>
      </c>
      <c r="CG85" s="4" t="s">
        <v>241</v>
      </c>
      <c r="CK85" s="4" t="s">
        <v>257</v>
      </c>
      <c r="CL85" s="4" t="s">
        <v>258</v>
      </c>
      <c r="CM85" s="4" t="s">
        <v>241</v>
      </c>
      <c r="CO85" s="4" t="s">
        <v>259</v>
      </c>
      <c r="CP85" s="5" t="s">
        <v>260</v>
      </c>
      <c r="CQ85" s="4" t="s">
        <v>261</v>
      </c>
      <c r="CR85" s="4" t="s">
        <v>262</v>
      </c>
      <c r="CS85" s="4" t="s">
        <v>241</v>
      </c>
      <c r="CT85" s="4" t="s">
        <v>241</v>
      </c>
      <c r="CU85" s="4">
        <v>0</v>
      </c>
      <c r="CV85" s="4" t="s">
        <v>298</v>
      </c>
      <c r="CW85" s="4" t="s">
        <v>299</v>
      </c>
      <c r="CX85" s="4" t="s">
        <v>321</v>
      </c>
      <c r="CZ85" s="6">
        <f>2074800</f>
        <v>2074800</v>
      </c>
      <c r="DA85" s="6">
        <f>0</f>
        <v>0</v>
      </c>
      <c r="DC85" s="4" t="s">
        <v>241</v>
      </c>
      <c r="DD85" s="4" t="s">
        <v>241</v>
      </c>
      <c r="DF85" s="4" t="s">
        <v>241</v>
      </c>
      <c r="DI85" s="4" t="s">
        <v>241</v>
      </c>
      <c r="DJ85" s="4" t="s">
        <v>241</v>
      </c>
      <c r="DK85" s="4" t="s">
        <v>241</v>
      </c>
      <c r="DL85" s="4" t="s">
        <v>241</v>
      </c>
      <c r="DM85" s="4" t="s">
        <v>268</v>
      </c>
      <c r="DN85" s="4" t="s">
        <v>269</v>
      </c>
      <c r="DO85" s="6">
        <f>21.84</f>
        <v>21.84</v>
      </c>
      <c r="DP85" s="4" t="s">
        <v>241</v>
      </c>
      <c r="DQ85" s="4" t="s">
        <v>241</v>
      </c>
      <c r="DR85" s="4" t="s">
        <v>241</v>
      </c>
      <c r="DS85" s="4" t="s">
        <v>241</v>
      </c>
      <c r="DV85" s="4" t="s">
        <v>547</v>
      </c>
      <c r="DW85" s="4" t="s">
        <v>268</v>
      </c>
      <c r="HO85" s="4" t="s">
        <v>268</v>
      </c>
      <c r="HR85" s="4" t="s">
        <v>269</v>
      </c>
      <c r="HS85" s="4" t="s">
        <v>269</v>
      </c>
    </row>
    <row r="86" spans="1:240" x14ac:dyDescent="0.4">
      <c r="A86" s="4">
        <v>2</v>
      </c>
      <c r="B86" s="4" t="s">
        <v>239</v>
      </c>
      <c r="C86" s="4">
        <v>1170</v>
      </c>
      <c r="D86" s="4">
        <v>1</v>
      </c>
      <c r="E86" s="4">
        <v>3</v>
      </c>
      <c r="F86" s="4" t="s">
        <v>290</v>
      </c>
      <c r="G86" s="4" t="s">
        <v>241</v>
      </c>
      <c r="H86" s="4" t="s">
        <v>241</v>
      </c>
      <c r="I86" s="4" t="s">
        <v>544</v>
      </c>
      <c r="J86" s="4" t="s">
        <v>545</v>
      </c>
      <c r="K86" s="4" t="s">
        <v>249</v>
      </c>
      <c r="L86" s="4" t="s">
        <v>241</v>
      </c>
      <c r="M86" s="5" t="s">
        <v>546</v>
      </c>
      <c r="N86" s="4" t="s">
        <v>792</v>
      </c>
      <c r="O86" s="6">
        <f>21.84</f>
        <v>21.84</v>
      </c>
      <c r="P86" s="4" t="s">
        <v>267</v>
      </c>
      <c r="Q86" s="6">
        <f>2328453</f>
        <v>2328453</v>
      </c>
      <c r="R86" s="6">
        <f>2533680</f>
        <v>2533680</v>
      </c>
      <c r="S86" s="5" t="s">
        <v>252</v>
      </c>
      <c r="T86" s="4" t="s">
        <v>300</v>
      </c>
      <c r="U86" s="4" t="s">
        <v>289</v>
      </c>
      <c r="V86" s="6">
        <f>68409</f>
        <v>68409</v>
      </c>
      <c r="W86" s="6">
        <f>205227</f>
        <v>205227</v>
      </c>
      <c r="X86" s="4" t="s">
        <v>292</v>
      </c>
      <c r="Y86" s="4" t="s">
        <v>242</v>
      </c>
      <c r="Z86" s="4" t="s">
        <v>241</v>
      </c>
      <c r="AA86" s="4" t="s">
        <v>241</v>
      </c>
      <c r="AD86" s="4" t="s">
        <v>241</v>
      </c>
      <c r="AE86" s="5" t="s">
        <v>241</v>
      </c>
      <c r="AF86" s="5" t="s">
        <v>241</v>
      </c>
      <c r="AH86" s="5" t="s">
        <v>241</v>
      </c>
      <c r="AI86" s="5" t="s">
        <v>244</v>
      </c>
      <c r="AJ86" s="4" t="s">
        <v>245</v>
      </c>
      <c r="AK86" s="4" t="s">
        <v>246</v>
      </c>
      <c r="AQ86" s="4" t="s">
        <v>241</v>
      </c>
      <c r="AR86" s="4" t="s">
        <v>241</v>
      </c>
      <c r="AS86" s="4" t="s">
        <v>241</v>
      </c>
      <c r="AT86" s="5" t="s">
        <v>241</v>
      </c>
      <c r="AU86" s="5" t="s">
        <v>241</v>
      </c>
      <c r="AV86" s="5" t="s">
        <v>241</v>
      </c>
      <c r="AY86" s="4" t="s">
        <v>271</v>
      </c>
      <c r="AZ86" s="4" t="s">
        <v>271</v>
      </c>
      <c r="BA86" s="4" t="s">
        <v>247</v>
      </c>
      <c r="BB86" s="4" t="s">
        <v>272</v>
      </c>
      <c r="BC86" s="4" t="s">
        <v>248</v>
      </c>
      <c r="BD86" s="4" t="s">
        <v>241</v>
      </c>
      <c r="BE86" s="4" t="s">
        <v>250</v>
      </c>
      <c r="BF86" s="4" t="s">
        <v>241</v>
      </c>
      <c r="BJ86" s="4" t="s">
        <v>273</v>
      </c>
      <c r="BK86" s="5" t="s">
        <v>274</v>
      </c>
      <c r="BL86" s="4" t="s">
        <v>275</v>
      </c>
      <c r="BM86" s="4" t="s">
        <v>275</v>
      </c>
      <c r="BN86" s="4" t="s">
        <v>241</v>
      </c>
      <c r="BO86" s="6">
        <f>0</f>
        <v>0</v>
      </c>
      <c r="BP86" s="6">
        <f>-68409</f>
        <v>-68409</v>
      </c>
      <c r="BQ86" s="4" t="s">
        <v>255</v>
      </c>
      <c r="BR86" s="4" t="s">
        <v>256</v>
      </c>
      <c r="BS86" s="4" t="s">
        <v>241</v>
      </c>
      <c r="BT86" s="4" t="s">
        <v>241</v>
      </c>
      <c r="BU86" s="4" t="s">
        <v>241</v>
      </c>
      <c r="BV86" s="4" t="s">
        <v>241</v>
      </c>
      <c r="CE86" s="4" t="s">
        <v>256</v>
      </c>
      <c r="CF86" s="4" t="s">
        <v>241</v>
      </c>
      <c r="CG86" s="4" t="s">
        <v>241</v>
      </c>
      <c r="CK86" s="4" t="s">
        <v>276</v>
      </c>
      <c r="CL86" s="4" t="s">
        <v>258</v>
      </c>
      <c r="CM86" s="4" t="s">
        <v>241</v>
      </c>
      <c r="CO86" s="4" t="s">
        <v>603</v>
      </c>
      <c r="CP86" s="5" t="s">
        <v>260</v>
      </c>
      <c r="CQ86" s="4" t="s">
        <v>261</v>
      </c>
      <c r="CR86" s="4" t="s">
        <v>262</v>
      </c>
      <c r="CS86" s="4" t="s">
        <v>278</v>
      </c>
      <c r="CT86" s="4" t="s">
        <v>241</v>
      </c>
      <c r="CU86" s="4">
        <v>2.7E-2</v>
      </c>
      <c r="CV86" s="4" t="s">
        <v>298</v>
      </c>
      <c r="CW86" s="4" t="s">
        <v>299</v>
      </c>
      <c r="CX86" s="4" t="s">
        <v>279</v>
      </c>
      <c r="CY86" s="6">
        <f>0</f>
        <v>0</v>
      </c>
      <c r="CZ86" s="6">
        <f>2533680</f>
        <v>2533680</v>
      </c>
      <c r="DA86" s="6">
        <f>2328453</f>
        <v>2328453</v>
      </c>
      <c r="DC86" s="4" t="s">
        <v>241</v>
      </c>
      <c r="DD86" s="4" t="s">
        <v>241</v>
      </c>
      <c r="DF86" s="4" t="s">
        <v>241</v>
      </c>
      <c r="DG86" s="6">
        <f>0</f>
        <v>0</v>
      </c>
      <c r="DI86" s="4" t="s">
        <v>241</v>
      </c>
      <c r="DJ86" s="4" t="s">
        <v>241</v>
      </c>
      <c r="DK86" s="4" t="s">
        <v>241</v>
      </c>
      <c r="DL86" s="4" t="s">
        <v>241</v>
      </c>
      <c r="DM86" s="4" t="s">
        <v>269</v>
      </c>
      <c r="DN86" s="4" t="s">
        <v>269</v>
      </c>
      <c r="DO86" s="6">
        <f>21.84</f>
        <v>21.84</v>
      </c>
      <c r="DP86" s="4" t="s">
        <v>241</v>
      </c>
      <c r="DQ86" s="4" t="s">
        <v>241</v>
      </c>
      <c r="DR86" s="4" t="s">
        <v>241</v>
      </c>
      <c r="DS86" s="4" t="s">
        <v>241</v>
      </c>
      <c r="DV86" s="4" t="s">
        <v>547</v>
      </c>
      <c r="DW86" s="4" t="s">
        <v>289</v>
      </c>
      <c r="GN86" s="4" t="s">
        <v>793</v>
      </c>
      <c r="HO86" s="4" t="s">
        <v>330</v>
      </c>
      <c r="HR86" s="4" t="s">
        <v>269</v>
      </c>
      <c r="HS86" s="4" t="s">
        <v>269</v>
      </c>
      <c r="HT86" s="4" t="s">
        <v>241</v>
      </c>
      <c r="HU86" s="4" t="s">
        <v>241</v>
      </c>
      <c r="HV86" s="4" t="s">
        <v>241</v>
      </c>
      <c r="HW86" s="4" t="s">
        <v>241</v>
      </c>
      <c r="HX86" s="4" t="s">
        <v>241</v>
      </c>
      <c r="HY86" s="4" t="s">
        <v>241</v>
      </c>
      <c r="HZ86" s="4" t="s">
        <v>241</v>
      </c>
      <c r="IA86" s="4" t="s">
        <v>241</v>
      </c>
      <c r="IB86" s="4" t="s">
        <v>241</v>
      </c>
      <c r="IC86" s="4" t="s">
        <v>241</v>
      </c>
      <c r="ID86" s="4" t="s">
        <v>241</v>
      </c>
      <c r="IE86" s="4" t="s">
        <v>241</v>
      </c>
      <c r="IF86" s="4" t="s">
        <v>241</v>
      </c>
    </row>
    <row r="87" spans="1:240" x14ac:dyDescent="0.4">
      <c r="A87" s="4">
        <v>2</v>
      </c>
      <c r="B87" s="4" t="s">
        <v>239</v>
      </c>
      <c r="C87" s="4">
        <v>1171</v>
      </c>
      <c r="D87" s="4">
        <v>1</v>
      </c>
      <c r="E87" s="4">
        <v>1</v>
      </c>
      <c r="F87" s="4" t="s">
        <v>240</v>
      </c>
      <c r="G87" s="4" t="s">
        <v>241</v>
      </c>
      <c r="H87" s="4" t="s">
        <v>241</v>
      </c>
      <c r="I87" s="4" t="s">
        <v>548</v>
      </c>
      <c r="J87" s="4" t="s">
        <v>294</v>
      </c>
      <c r="K87" s="4" t="s">
        <v>249</v>
      </c>
      <c r="L87" s="4" t="s">
        <v>706</v>
      </c>
      <c r="M87" s="5" t="s">
        <v>549</v>
      </c>
      <c r="N87" s="4" t="s">
        <v>706</v>
      </c>
      <c r="O87" s="6">
        <f>9.94</f>
        <v>9.94</v>
      </c>
      <c r="P87" s="4" t="s">
        <v>267</v>
      </c>
      <c r="Q87" s="6">
        <f>1</f>
        <v>1</v>
      </c>
      <c r="R87" s="6">
        <f>1868720</f>
        <v>1868720</v>
      </c>
      <c r="S87" s="5" t="s">
        <v>739</v>
      </c>
      <c r="T87" s="4" t="s">
        <v>265</v>
      </c>
      <c r="U87" s="4" t="s">
        <v>265</v>
      </c>
      <c r="W87" s="6">
        <f>1868719</f>
        <v>1868719</v>
      </c>
      <c r="X87" s="4" t="s">
        <v>292</v>
      </c>
      <c r="Y87" s="4" t="s">
        <v>242</v>
      </c>
      <c r="Z87" s="4" t="s">
        <v>306</v>
      </c>
      <c r="AA87" s="4" t="s">
        <v>241</v>
      </c>
      <c r="AD87" s="4" t="s">
        <v>241</v>
      </c>
      <c r="AF87" s="5" t="s">
        <v>241</v>
      </c>
      <c r="AI87" s="5" t="s">
        <v>244</v>
      </c>
      <c r="AJ87" s="4" t="s">
        <v>245</v>
      </c>
      <c r="AK87" s="4" t="s">
        <v>246</v>
      </c>
      <c r="BA87" s="4" t="s">
        <v>247</v>
      </c>
      <c r="BB87" s="4" t="s">
        <v>241</v>
      </c>
      <c r="BC87" s="4" t="s">
        <v>248</v>
      </c>
      <c r="BD87" s="4" t="s">
        <v>241</v>
      </c>
      <c r="BE87" s="4" t="s">
        <v>250</v>
      </c>
      <c r="BF87" s="4" t="s">
        <v>241</v>
      </c>
      <c r="BJ87" s="4" t="s">
        <v>433</v>
      </c>
      <c r="BK87" s="5" t="s">
        <v>434</v>
      </c>
      <c r="BL87" s="4" t="s">
        <v>253</v>
      </c>
      <c r="BM87" s="4" t="s">
        <v>275</v>
      </c>
      <c r="BN87" s="4" t="s">
        <v>241</v>
      </c>
      <c r="BO87" s="6">
        <f>0</f>
        <v>0</v>
      </c>
      <c r="BP87" s="6">
        <f>0</f>
        <v>0</v>
      </c>
      <c r="BQ87" s="4" t="s">
        <v>255</v>
      </c>
      <c r="BR87" s="4" t="s">
        <v>256</v>
      </c>
      <c r="CF87" s="4" t="s">
        <v>241</v>
      </c>
      <c r="CG87" s="4" t="s">
        <v>241</v>
      </c>
      <c r="CK87" s="4" t="s">
        <v>276</v>
      </c>
      <c r="CL87" s="4" t="s">
        <v>258</v>
      </c>
      <c r="CM87" s="4" t="s">
        <v>241</v>
      </c>
      <c r="CO87" s="4" t="s">
        <v>429</v>
      </c>
      <c r="CP87" s="5" t="s">
        <v>260</v>
      </c>
      <c r="CQ87" s="4" t="s">
        <v>261</v>
      </c>
      <c r="CR87" s="4" t="s">
        <v>262</v>
      </c>
      <c r="CS87" s="4" t="s">
        <v>241</v>
      </c>
      <c r="CT87" s="4" t="s">
        <v>241</v>
      </c>
      <c r="CU87" s="4">
        <v>0</v>
      </c>
      <c r="CV87" s="4" t="s">
        <v>298</v>
      </c>
      <c r="CW87" s="4" t="s">
        <v>705</v>
      </c>
      <c r="CX87" s="4" t="s">
        <v>321</v>
      </c>
      <c r="CZ87" s="6">
        <f>1868720</f>
        <v>1868720</v>
      </c>
      <c r="DA87" s="6">
        <f>0</f>
        <v>0</v>
      </c>
      <c r="DC87" s="4" t="s">
        <v>241</v>
      </c>
      <c r="DD87" s="4" t="s">
        <v>241</v>
      </c>
      <c r="DF87" s="4" t="s">
        <v>241</v>
      </c>
      <c r="DI87" s="4" t="s">
        <v>241</v>
      </c>
      <c r="DJ87" s="4" t="s">
        <v>241</v>
      </c>
      <c r="DK87" s="4" t="s">
        <v>241</v>
      </c>
      <c r="DL87" s="4" t="s">
        <v>241</v>
      </c>
      <c r="DM87" s="4" t="s">
        <v>268</v>
      </c>
      <c r="DN87" s="4" t="s">
        <v>269</v>
      </c>
      <c r="DO87" s="6">
        <f>9.94</f>
        <v>9.94</v>
      </c>
      <c r="DP87" s="4" t="s">
        <v>241</v>
      </c>
      <c r="DQ87" s="4" t="s">
        <v>241</v>
      </c>
      <c r="DR87" s="4" t="s">
        <v>241</v>
      </c>
      <c r="DS87" s="4" t="s">
        <v>241</v>
      </c>
      <c r="DV87" s="4" t="s">
        <v>550</v>
      </c>
      <c r="DW87" s="4" t="s">
        <v>268</v>
      </c>
      <c r="HO87" s="4" t="s">
        <v>304</v>
      </c>
      <c r="HR87" s="4" t="s">
        <v>269</v>
      </c>
      <c r="HS87" s="4" t="s">
        <v>269</v>
      </c>
    </row>
    <row r="88" spans="1:240" x14ac:dyDescent="0.4">
      <c r="A88" s="4">
        <v>2</v>
      </c>
      <c r="B88" s="4" t="s">
        <v>239</v>
      </c>
      <c r="C88" s="4">
        <v>1172</v>
      </c>
      <c r="D88" s="4">
        <v>1</v>
      </c>
      <c r="E88" s="4">
        <v>1</v>
      </c>
      <c r="F88" s="4" t="s">
        <v>240</v>
      </c>
      <c r="G88" s="4" t="s">
        <v>241</v>
      </c>
      <c r="H88" s="4" t="s">
        <v>241</v>
      </c>
      <c r="I88" s="4" t="s">
        <v>548</v>
      </c>
      <c r="J88" s="4" t="s">
        <v>294</v>
      </c>
      <c r="K88" s="4" t="s">
        <v>249</v>
      </c>
      <c r="L88" s="4" t="s">
        <v>308</v>
      </c>
      <c r="M88" s="5" t="s">
        <v>549</v>
      </c>
      <c r="N88" s="4" t="s">
        <v>308</v>
      </c>
      <c r="O88" s="6">
        <f>16.38</f>
        <v>16.38</v>
      </c>
      <c r="P88" s="4" t="s">
        <v>267</v>
      </c>
      <c r="Q88" s="6">
        <f>1</f>
        <v>1</v>
      </c>
      <c r="R88" s="6">
        <f>1556100</f>
        <v>1556100</v>
      </c>
      <c r="S88" s="5" t="s">
        <v>243</v>
      </c>
      <c r="T88" s="4" t="s">
        <v>322</v>
      </c>
      <c r="U88" s="4" t="s">
        <v>266</v>
      </c>
      <c r="W88" s="6">
        <f>1556099</f>
        <v>1556099</v>
      </c>
      <c r="X88" s="4" t="s">
        <v>292</v>
      </c>
      <c r="Y88" s="4" t="s">
        <v>242</v>
      </c>
      <c r="Z88" s="4" t="s">
        <v>306</v>
      </c>
      <c r="AA88" s="4" t="s">
        <v>241</v>
      </c>
      <c r="AD88" s="4" t="s">
        <v>241</v>
      </c>
      <c r="AF88" s="5" t="s">
        <v>241</v>
      </c>
      <c r="AI88" s="5" t="s">
        <v>244</v>
      </c>
      <c r="AJ88" s="4" t="s">
        <v>245</v>
      </c>
      <c r="AK88" s="4" t="s">
        <v>246</v>
      </c>
      <c r="BA88" s="4" t="s">
        <v>247</v>
      </c>
      <c r="BB88" s="4" t="s">
        <v>241</v>
      </c>
      <c r="BC88" s="4" t="s">
        <v>248</v>
      </c>
      <c r="BD88" s="4" t="s">
        <v>241</v>
      </c>
      <c r="BE88" s="4" t="s">
        <v>250</v>
      </c>
      <c r="BF88" s="4" t="s">
        <v>241</v>
      </c>
      <c r="BJ88" s="4" t="s">
        <v>251</v>
      </c>
      <c r="BK88" s="5" t="s">
        <v>252</v>
      </c>
      <c r="BL88" s="4" t="s">
        <v>253</v>
      </c>
      <c r="BM88" s="4" t="s">
        <v>254</v>
      </c>
      <c r="BN88" s="4" t="s">
        <v>241</v>
      </c>
      <c r="BO88" s="6">
        <f>0</f>
        <v>0</v>
      </c>
      <c r="BP88" s="6">
        <f>0</f>
        <v>0</v>
      </c>
      <c r="BQ88" s="4" t="s">
        <v>255</v>
      </c>
      <c r="BR88" s="4" t="s">
        <v>256</v>
      </c>
      <c r="CF88" s="4" t="s">
        <v>241</v>
      </c>
      <c r="CG88" s="4" t="s">
        <v>241</v>
      </c>
      <c r="CK88" s="4" t="s">
        <v>257</v>
      </c>
      <c r="CL88" s="4" t="s">
        <v>258</v>
      </c>
      <c r="CM88" s="4" t="s">
        <v>241</v>
      </c>
      <c r="CO88" s="4" t="s">
        <v>259</v>
      </c>
      <c r="CP88" s="5" t="s">
        <v>260</v>
      </c>
      <c r="CQ88" s="4" t="s">
        <v>261</v>
      </c>
      <c r="CR88" s="4" t="s">
        <v>262</v>
      </c>
      <c r="CS88" s="4" t="s">
        <v>241</v>
      </c>
      <c r="CT88" s="4" t="s">
        <v>241</v>
      </c>
      <c r="CU88" s="4">
        <v>0</v>
      </c>
      <c r="CV88" s="4" t="s">
        <v>298</v>
      </c>
      <c r="CW88" s="4" t="s">
        <v>299</v>
      </c>
      <c r="CX88" s="4" t="s">
        <v>321</v>
      </c>
      <c r="CZ88" s="6">
        <f>1556100</f>
        <v>1556100</v>
      </c>
      <c r="DA88" s="6">
        <f>0</f>
        <v>0</v>
      </c>
      <c r="DC88" s="4" t="s">
        <v>241</v>
      </c>
      <c r="DD88" s="4" t="s">
        <v>241</v>
      </c>
      <c r="DF88" s="4" t="s">
        <v>241</v>
      </c>
      <c r="DI88" s="4" t="s">
        <v>241</v>
      </c>
      <c r="DJ88" s="4" t="s">
        <v>241</v>
      </c>
      <c r="DK88" s="4" t="s">
        <v>241</v>
      </c>
      <c r="DL88" s="4" t="s">
        <v>241</v>
      </c>
      <c r="DM88" s="4" t="s">
        <v>268</v>
      </c>
      <c r="DN88" s="4" t="s">
        <v>269</v>
      </c>
      <c r="DO88" s="6">
        <f>16.38</f>
        <v>16.38</v>
      </c>
      <c r="DP88" s="4" t="s">
        <v>241</v>
      </c>
      <c r="DQ88" s="4" t="s">
        <v>241</v>
      </c>
      <c r="DR88" s="4" t="s">
        <v>241</v>
      </c>
      <c r="DS88" s="4" t="s">
        <v>241</v>
      </c>
      <c r="DV88" s="4" t="s">
        <v>550</v>
      </c>
      <c r="DW88" s="4" t="s">
        <v>289</v>
      </c>
      <c r="HO88" s="4" t="s">
        <v>268</v>
      </c>
      <c r="HR88" s="4" t="s">
        <v>269</v>
      </c>
      <c r="HS88" s="4" t="s">
        <v>269</v>
      </c>
    </row>
    <row r="89" spans="1:240" x14ac:dyDescent="0.4">
      <c r="A89" s="4">
        <v>2</v>
      </c>
      <c r="B89" s="4" t="s">
        <v>239</v>
      </c>
      <c r="C89" s="4">
        <v>1173</v>
      </c>
      <c r="D89" s="4">
        <v>1</v>
      </c>
      <c r="E89" s="4">
        <v>3</v>
      </c>
      <c r="F89" s="4" t="s">
        <v>240</v>
      </c>
      <c r="G89" s="4" t="s">
        <v>241</v>
      </c>
      <c r="H89" s="4" t="s">
        <v>241</v>
      </c>
      <c r="I89" s="4" t="s">
        <v>597</v>
      </c>
      <c r="J89" s="4" t="s">
        <v>598</v>
      </c>
      <c r="K89" s="4" t="s">
        <v>249</v>
      </c>
      <c r="L89" s="4" t="s">
        <v>641</v>
      </c>
      <c r="M89" s="5" t="s">
        <v>599</v>
      </c>
      <c r="N89" s="4" t="s">
        <v>641</v>
      </c>
      <c r="O89" s="6">
        <f>71.38</f>
        <v>71.38</v>
      </c>
      <c r="P89" s="4" t="s">
        <v>267</v>
      </c>
      <c r="Q89" s="6">
        <f>2475468</f>
        <v>2475468</v>
      </c>
      <c r="R89" s="6">
        <f>18201900</f>
        <v>18201900</v>
      </c>
      <c r="S89" s="5" t="s">
        <v>450</v>
      </c>
      <c r="T89" s="4" t="s">
        <v>300</v>
      </c>
      <c r="U89" s="4" t="s">
        <v>642</v>
      </c>
      <c r="V89" s="6">
        <f>491451</f>
        <v>491451</v>
      </c>
      <c r="W89" s="6">
        <f>15726432</f>
        <v>15726432</v>
      </c>
      <c r="X89" s="4" t="s">
        <v>292</v>
      </c>
      <c r="Y89" s="4" t="s">
        <v>242</v>
      </c>
      <c r="Z89" s="4" t="s">
        <v>306</v>
      </c>
      <c r="AA89" s="4" t="s">
        <v>241</v>
      </c>
      <c r="AD89" s="4" t="s">
        <v>241</v>
      </c>
      <c r="AE89" s="5" t="s">
        <v>241</v>
      </c>
      <c r="AF89" s="5" t="s">
        <v>241</v>
      </c>
      <c r="AH89" s="5" t="s">
        <v>241</v>
      </c>
      <c r="AI89" s="5" t="s">
        <v>244</v>
      </c>
      <c r="AJ89" s="4" t="s">
        <v>245</v>
      </c>
      <c r="AK89" s="4" t="s">
        <v>246</v>
      </c>
      <c r="AQ89" s="4" t="s">
        <v>241</v>
      </c>
      <c r="AR89" s="4" t="s">
        <v>241</v>
      </c>
      <c r="AS89" s="4" t="s">
        <v>241</v>
      </c>
      <c r="AT89" s="5" t="s">
        <v>241</v>
      </c>
      <c r="AU89" s="5" t="s">
        <v>241</v>
      </c>
      <c r="AV89" s="5" t="s">
        <v>241</v>
      </c>
      <c r="AY89" s="4" t="s">
        <v>271</v>
      </c>
      <c r="AZ89" s="4" t="s">
        <v>271</v>
      </c>
      <c r="BA89" s="4" t="s">
        <v>247</v>
      </c>
      <c r="BB89" s="4" t="s">
        <v>272</v>
      </c>
      <c r="BC89" s="4" t="s">
        <v>248</v>
      </c>
      <c r="BD89" s="4" t="s">
        <v>241</v>
      </c>
      <c r="BE89" s="4" t="s">
        <v>250</v>
      </c>
      <c r="BF89" s="4" t="s">
        <v>241</v>
      </c>
      <c r="BJ89" s="4" t="s">
        <v>273</v>
      </c>
      <c r="BK89" s="5" t="s">
        <v>274</v>
      </c>
      <c r="BL89" s="4" t="s">
        <v>275</v>
      </c>
      <c r="BM89" s="4" t="s">
        <v>275</v>
      </c>
      <c r="BN89" s="4" t="s">
        <v>241</v>
      </c>
      <c r="BO89" s="6">
        <f>0</f>
        <v>0</v>
      </c>
      <c r="BP89" s="6">
        <f>-491451</f>
        <v>-491451</v>
      </c>
      <c r="BQ89" s="4" t="s">
        <v>255</v>
      </c>
      <c r="BR89" s="4" t="s">
        <v>256</v>
      </c>
      <c r="BS89" s="4" t="s">
        <v>241</v>
      </c>
      <c r="BT89" s="4" t="s">
        <v>241</v>
      </c>
      <c r="BU89" s="4" t="s">
        <v>241</v>
      </c>
      <c r="BV89" s="4" t="s">
        <v>241</v>
      </c>
      <c r="CE89" s="4" t="s">
        <v>256</v>
      </c>
      <c r="CF89" s="4" t="s">
        <v>241</v>
      </c>
      <c r="CG89" s="4" t="s">
        <v>241</v>
      </c>
      <c r="CK89" s="4" t="s">
        <v>276</v>
      </c>
      <c r="CL89" s="4" t="s">
        <v>258</v>
      </c>
      <c r="CM89" s="4" t="s">
        <v>241</v>
      </c>
      <c r="CO89" s="4" t="s">
        <v>452</v>
      </c>
      <c r="CP89" s="5" t="s">
        <v>260</v>
      </c>
      <c r="CQ89" s="4" t="s">
        <v>261</v>
      </c>
      <c r="CR89" s="4" t="s">
        <v>262</v>
      </c>
      <c r="CS89" s="4" t="s">
        <v>278</v>
      </c>
      <c r="CT89" s="4" t="s">
        <v>241</v>
      </c>
      <c r="CU89" s="4">
        <v>2.7E-2</v>
      </c>
      <c r="CV89" s="4" t="s">
        <v>298</v>
      </c>
      <c r="CW89" s="4" t="s">
        <v>263</v>
      </c>
      <c r="CX89" s="4" t="s">
        <v>279</v>
      </c>
      <c r="CY89" s="6">
        <f>0</f>
        <v>0</v>
      </c>
      <c r="CZ89" s="6">
        <f>18201900</f>
        <v>18201900</v>
      </c>
      <c r="DA89" s="6">
        <f>2475468</f>
        <v>2475468</v>
      </c>
      <c r="DC89" s="4" t="s">
        <v>241</v>
      </c>
      <c r="DD89" s="4" t="s">
        <v>241</v>
      </c>
      <c r="DF89" s="4" t="s">
        <v>241</v>
      </c>
      <c r="DG89" s="6">
        <f>0</f>
        <v>0</v>
      </c>
      <c r="DI89" s="4" t="s">
        <v>241</v>
      </c>
      <c r="DJ89" s="4" t="s">
        <v>241</v>
      </c>
      <c r="DK89" s="4" t="s">
        <v>241</v>
      </c>
      <c r="DL89" s="4" t="s">
        <v>241</v>
      </c>
      <c r="DM89" s="4" t="s">
        <v>268</v>
      </c>
      <c r="DN89" s="4" t="s">
        <v>269</v>
      </c>
      <c r="DO89" s="6">
        <f>71.38</f>
        <v>71.38</v>
      </c>
      <c r="DP89" s="4" t="s">
        <v>241</v>
      </c>
      <c r="DQ89" s="4" t="s">
        <v>241</v>
      </c>
      <c r="DR89" s="4" t="s">
        <v>241</v>
      </c>
      <c r="DS89" s="4" t="s">
        <v>241</v>
      </c>
      <c r="DV89" s="4" t="s">
        <v>600</v>
      </c>
      <c r="DW89" s="4" t="s">
        <v>268</v>
      </c>
      <c r="GN89" s="4" t="s">
        <v>643</v>
      </c>
      <c r="HO89" s="4" t="s">
        <v>282</v>
      </c>
      <c r="HR89" s="4" t="s">
        <v>269</v>
      </c>
      <c r="HS89" s="4" t="s">
        <v>269</v>
      </c>
      <c r="HT89" s="4" t="s">
        <v>241</v>
      </c>
      <c r="HU89" s="4" t="s">
        <v>241</v>
      </c>
      <c r="HV89" s="4" t="s">
        <v>241</v>
      </c>
      <c r="HW89" s="4" t="s">
        <v>241</v>
      </c>
      <c r="HX89" s="4" t="s">
        <v>241</v>
      </c>
      <c r="HY89" s="4" t="s">
        <v>241</v>
      </c>
      <c r="HZ89" s="4" t="s">
        <v>241</v>
      </c>
      <c r="IA89" s="4" t="s">
        <v>241</v>
      </c>
      <c r="IB89" s="4" t="s">
        <v>241</v>
      </c>
      <c r="IC89" s="4" t="s">
        <v>241</v>
      </c>
      <c r="ID89" s="4" t="s">
        <v>241</v>
      </c>
      <c r="IE89" s="4" t="s">
        <v>241</v>
      </c>
      <c r="IF89" s="4" t="s">
        <v>241</v>
      </c>
    </row>
    <row r="90" spans="1:240" x14ac:dyDescent="0.4">
      <c r="A90" s="4">
        <v>2</v>
      </c>
      <c r="B90" s="4" t="s">
        <v>239</v>
      </c>
      <c r="C90" s="4">
        <v>1174</v>
      </c>
      <c r="D90" s="4">
        <v>1</v>
      </c>
      <c r="E90" s="4">
        <v>3</v>
      </c>
      <c r="F90" s="4" t="s">
        <v>240</v>
      </c>
      <c r="G90" s="4" t="s">
        <v>241</v>
      </c>
      <c r="H90" s="4" t="s">
        <v>241</v>
      </c>
      <c r="I90" s="4" t="s">
        <v>597</v>
      </c>
      <c r="J90" s="4" t="s">
        <v>598</v>
      </c>
      <c r="K90" s="4" t="s">
        <v>249</v>
      </c>
      <c r="L90" s="4" t="s">
        <v>308</v>
      </c>
      <c r="M90" s="5" t="s">
        <v>599</v>
      </c>
      <c r="N90" s="4" t="s">
        <v>308</v>
      </c>
      <c r="O90" s="6">
        <f>23.04</f>
        <v>23.04</v>
      </c>
      <c r="P90" s="4" t="s">
        <v>267</v>
      </c>
      <c r="Q90" s="6">
        <f>799040</f>
        <v>799040</v>
      </c>
      <c r="R90" s="6">
        <f>5875200</f>
        <v>5875200</v>
      </c>
      <c r="S90" s="5" t="s">
        <v>450</v>
      </c>
      <c r="T90" s="4" t="s">
        <v>300</v>
      </c>
      <c r="U90" s="4" t="s">
        <v>642</v>
      </c>
      <c r="V90" s="6">
        <f>158630</f>
        <v>158630</v>
      </c>
      <c r="W90" s="6">
        <f>5076160</f>
        <v>5076160</v>
      </c>
      <c r="X90" s="4" t="s">
        <v>292</v>
      </c>
      <c r="Y90" s="4" t="s">
        <v>242</v>
      </c>
      <c r="Z90" s="4" t="s">
        <v>306</v>
      </c>
      <c r="AA90" s="4" t="s">
        <v>241</v>
      </c>
      <c r="AD90" s="4" t="s">
        <v>241</v>
      </c>
      <c r="AE90" s="5" t="s">
        <v>241</v>
      </c>
      <c r="AF90" s="5" t="s">
        <v>241</v>
      </c>
      <c r="AH90" s="5" t="s">
        <v>241</v>
      </c>
      <c r="AI90" s="5" t="s">
        <v>244</v>
      </c>
      <c r="AJ90" s="4" t="s">
        <v>245</v>
      </c>
      <c r="AK90" s="4" t="s">
        <v>246</v>
      </c>
      <c r="AQ90" s="4" t="s">
        <v>241</v>
      </c>
      <c r="AR90" s="4" t="s">
        <v>241</v>
      </c>
      <c r="AS90" s="4" t="s">
        <v>241</v>
      </c>
      <c r="AT90" s="5" t="s">
        <v>241</v>
      </c>
      <c r="AU90" s="5" t="s">
        <v>241</v>
      </c>
      <c r="AV90" s="5" t="s">
        <v>241</v>
      </c>
      <c r="AY90" s="4" t="s">
        <v>271</v>
      </c>
      <c r="AZ90" s="4" t="s">
        <v>271</v>
      </c>
      <c r="BA90" s="4" t="s">
        <v>247</v>
      </c>
      <c r="BB90" s="4" t="s">
        <v>272</v>
      </c>
      <c r="BC90" s="4" t="s">
        <v>248</v>
      </c>
      <c r="BD90" s="4" t="s">
        <v>241</v>
      </c>
      <c r="BE90" s="4" t="s">
        <v>250</v>
      </c>
      <c r="BF90" s="4" t="s">
        <v>241</v>
      </c>
      <c r="BJ90" s="4" t="s">
        <v>273</v>
      </c>
      <c r="BK90" s="5" t="s">
        <v>274</v>
      </c>
      <c r="BL90" s="4" t="s">
        <v>275</v>
      </c>
      <c r="BM90" s="4" t="s">
        <v>275</v>
      </c>
      <c r="BN90" s="4" t="s">
        <v>241</v>
      </c>
      <c r="BO90" s="6">
        <f>0</f>
        <v>0</v>
      </c>
      <c r="BP90" s="6">
        <f>-158630</f>
        <v>-158630</v>
      </c>
      <c r="BQ90" s="4" t="s">
        <v>255</v>
      </c>
      <c r="BR90" s="4" t="s">
        <v>256</v>
      </c>
      <c r="BS90" s="4" t="s">
        <v>241</v>
      </c>
      <c r="BT90" s="4" t="s">
        <v>241</v>
      </c>
      <c r="BU90" s="4" t="s">
        <v>241</v>
      </c>
      <c r="BV90" s="4" t="s">
        <v>241</v>
      </c>
      <c r="CE90" s="4" t="s">
        <v>256</v>
      </c>
      <c r="CF90" s="4" t="s">
        <v>241</v>
      </c>
      <c r="CG90" s="4" t="s">
        <v>241</v>
      </c>
      <c r="CK90" s="4" t="s">
        <v>276</v>
      </c>
      <c r="CL90" s="4" t="s">
        <v>258</v>
      </c>
      <c r="CM90" s="4" t="s">
        <v>241</v>
      </c>
      <c r="CO90" s="4" t="s">
        <v>452</v>
      </c>
      <c r="CP90" s="5" t="s">
        <v>260</v>
      </c>
      <c r="CQ90" s="4" t="s">
        <v>261</v>
      </c>
      <c r="CR90" s="4" t="s">
        <v>262</v>
      </c>
      <c r="CS90" s="4" t="s">
        <v>278</v>
      </c>
      <c r="CT90" s="4" t="s">
        <v>241</v>
      </c>
      <c r="CU90" s="4">
        <v>2.7E-2</v>
      </c>
      <c r="CV90" s="4" t="s">
        <v>298</v>
      </c>
      <c r="CW90" s="4" t="s">
        <v>299</v>
      </c>
      <c r="CX90" s="4" t="s">
        <v>279</v>
      </c>
      <c r="CY90" s="6">
        <f>0</f>
        <v>0</v>
      </c>
      <c r="CZ90" s="6">
        <f>5875200</f>
        <v>5875200</v>
      </c>
      <c r="DA90" s="6">
        <f>799040</f>
        <v>799040</v>
      </c>
      <c r="DC90" s="4" t="s">
        <v>241</v>
      </c>
      <c r="DD90" s="4" t="s">
        <v>241</v>
      </c>
      <c r="DF90" s="4" t="s">
        <v>241</v>
      </c>
      <c r="DG90" s="6">
        <f>0</f>
        <v>0</v>
      </c>
      <c r="DI90" s="4" t="s">
        <v>241</v>
      </c>
      <c r="DJ90" s="4" t="s">
        <v>241</v>
      </c>
      <c r="DK90" s="4" t="s">
        <v>241</v>
      </c>
      <c r="DL90" s="4" t="s">
        <v>241</v>
      </c>
      <c r="DM90" s="4" t="s">
        <v>268</v>
      </c>
      <c r="DN90" s="4" t="s">
        <v>269</v>
      </c>
      <c r="DO90" s="6">
        <f>23.04</f>
        <v>23.04</v>
      </c>
      <c r="DP90" s="4" t="s">
        <v>241</v>
      </c>
      <c r="DQ90" s="4" t="s">
        <v>241</v>
      </c>
      <c r="DR90" s="4" t="s">
        <v>241</v>
      </c>
      <c r="DS90" s="4" t="s">
        <v>241</v>
      </c>
      <c r="DV90" s="4" t="s">
        <v>600</v>
      </c>
      <c r="DW90" s="4" t="s">
        <v>289</v>
      </c>
      <c r="GN90" s="4" t="s">
        <v>791</v>
      </c>
      <c r="HO90" s="4" t="s">
        <v>282</v>
      </c>
      <c r="HR90" s="4" t="s">
        <v>269</v>
      </c>
      <c r="HS90" s="4" t="s">
        <v>269</v>
      </c>
      <c r="HT90" s="4" t="s">
        <v>241</v>
      </c>
      <c r="HU90" s="4" t="s">
        <v>241</v>
      </c>
      <c r="HV90" s="4" t="s">
        <v>241</v>
      </c>
      <c r="HW90" s="4" t="s">
        <v>241</v>
      </c>
      <c r="HX90" s="4" t="s">
        <v>241</v>
      </c>
      <c r="HY90" s="4" t="s">
        <v>241</v>
      </c>
      <c r="HZ90" s="4" t="s">
        <v>241</v>
      </c>
      <c r="IA90" s="4" t="s">
        <v>241</v>
      </c>
      <c r="IB90" s="4" t="s">
        <v>241</v>
      </c>
      <c r="IC90" s="4" t="s">
        <v>241</v>
      </c>
      <c r="ID90" s="4" t="s">
        <v>241</v>
      </c>
      <c r="IE90" s="4" t="s">
        <v>241</v>
      </c>
      <c r="IF90" s="4" t="s">
        <v>241</v>
      </c>
    </row>
    <row r="91" spans="1:240" x14ac:dyDescent="0.4">
      <c r="A91" s="4">
        <v>2</v>
      </c>
      <c r="B91" s="4" t="s">
        <v>239</v>
      </c>
      <c r="C91" s="4">
        <v>1175</v>
      </c>
      <c r="D91" s="4">
        <v>1</v>
      </c>
      <c r="E91" s="4">
        <v>1</v>
      </c>
      <c r="F91" s="4" t="s">
        <v>240</v>
      </c>
      <c r="G91" s="4" t="s">
        <v>241</v>
      </c>
      <c r="H91" s="4" t="s">
        <v>241</v>
      </c>
      <c r="I91" s="4" t="s">
        <v>597</v>
      </c>
      <c r="J91" s="4" t="s">
        <v>598</v>
      </c>
      <c r="K91" s="4" t="s">
        <v>249</v>
      </c>
      <c r="L91" s="4" t="s">
        <v>593</v>
      </c>
      <c r="M91" s="5" t="s">
        <v>599</v>
      </c>
      <c r="N91" s="4" t="s">
        <v>593</v>
      </c>
      <c r="O91" s="6">
        <f>33.03</f>
        <v>33.03</v>
      </c>
      <c r="P91" s="4" t="s">
        <v>267</v>
      </c>
      <c r="Q91" s="6">
        <f>1</f>
        <v>1</v>
      </c>
      <c r="R91" s="6">
        <f>8422650</f>
        <v>8422650</v>
      </c>
      <c r="S91" s="5" t="s">
        <v>450</v>
      </c>
      <c r="T91" s="4" t="s">
        <v>322</v>
      </c>
      <c r="U91" s="4" t="s">
        <v>453</v>
      </c>
      <c r="W91" s="6">
        <f>8422649</f>
        <v>8422649</v>
      </c>
      <c r="X91" s="4" t="s">
        <v>292</v>
      </c>
      <c r="Y91" s="4" t="s">
        <v>242</v>
      </c>
      <c r="Z91" s="4" t="s">
        <v>306</v>
      </c>
      <c r="AA91" s="4" t="s">
        <v>241</v>
      </c>
      <c r="AD91" s="4" t="s">
        <v>241</v>
      </c>
      <c r="AF91" s="5" t="s">
        <v>241</v>
      </c>
      <c r="AI91" s="5" t="s">
        <v>244</v>
      </c>
      <c r="AJ91" s="4" t="s">
        <v>245</v>
      </c>
      <c r="AK91" s="4" t="s">
        <v>246</v>
      </c>
      <c r="BA91" s="4" t="s">
        <v>247</v>
      </c>
      <c r="BB91" s="4" t="s">
        <v>241</v>
      </c>
      <c r="BC91" s="4" t="s">
        <v>248</v>
      </c>
      <c r="BD91" s="4" t="s">
        <v>241</v>
      </c>
      <c r="BE91" s="4" t="s">
        <v>250</v>
      </c>
      <c r="BF91" s="4" t="s">
        <v>241</v>
      </c>
      <c r="BJ91" s="4" t="s">
        <v>433</v>
      </c>
      <c r="BK91" s="5" t="s">
        <v>434</v>
      </c>
      <c r="BL91" s="4" t="s">
        <v>253</v>
      </c>
      <c r="BM91" s="4" t="s">
        <v>254</v>
      </c>
      <c r="BN91" s="4" t="s">
        <v>241</v>
      </c>
      <c r="BO91" s="6">
        <f>0</f>
        <v>0</v>
      </c>
      <c r="BP91" s="6">
        <f>0</f>
        <v>0</v>
      </c>
      <c r="BQ91" s="4" t="s">
        <v>255</v>
      </c>
      <c r="BR91" s="4" t="s">
        <v>256</v>
      </c>
      <c r="CF91" s="4" t="s">
        <v>241</v>
      </c>
      <c r="CG91" s="4" t="s">
        <v>241</v>
      </c>
      <c r="CK91" s="4" t="s">
        <v>276</v>
      </c>
      <c r="CL91" s="4" t="s">
        <v>258</v>
      </c>
      <c r="CM91" s="4" t="s">
        <v>241</v>
      </c>
      <c r="CO91" s="4" t="s">
        <v>452</v>
      </c>
      <c r="CP91" s="5" t="s">
        <v>260</v>
      </c>
      <c r="CQ91" s="4" t="s">
        <v>261</v>
      </c>
      <c r="CR91" s="4" t="s">
        <v>262</v>
      </c>
      <c r="CS91" s="4" t="s">
        <v>241</v>
      </c>
      <c r="CT91" s="4" t="s">
        <v>241</v>
      </c>
      <c r="CU91" s="4">
        <v>0</v>
      </c>
      <c r="CV91" s="4" t="s">
        <v>298</v>
      </c>
      <c r="CW91" s="4" t="s">
        <v>594</v>
      </c>
      <c r="CX91" s="4" t="s">
        <v>595</v>
      </c>
      <c r="CZ91" s="6">
        <f>8422650</f>
        <v>8422650</v>
      </c>
      <c r="DA91" s="6">
        <f>0</f>
        <v>0</v>
      </c>
      <c r="DC91" s="4" t="s">
        <v>241</v>
      </c>
      <c r="DD91" s="4" t="s">
        <v>241</v>
      </c>
      <c r="DF91" s="4" t="s">
        <v>241</v>
      </c>
      <c r="DI91" s="4" t="s">
        <v>241</v>
      </c>
      <c r="DJ91" s="4" t="s">
        <v>241</v>
      </c>
      <c r="DK91" s="4" t="s">
        <v>241</v>
      </c>
      <c r="DL91" s="4" t="s">
        <v>241</v>
      </c>
      <c r="DM91" s="4" t="s">
        <v>268</v>
      </c>
      <c r="DN91" s="4" t="s">
        <v>269</v>
      </c>
      <c r="DO91" s="6">
        <f>33.03</f>
        <v>33.03</v>
      </c>
      <c r="DP91" s="4" t="s">
        <v>241</v>
      </c>
      <c r="DQ91" s="4" t="s">
        <v>241</v>
      </c>
      <c r="DR91" s="4" t="s">
        <v>241</v>
      </c>
      <c r="DS91" s="4" t="s">
        <v>241</v>
      </c>
      <c r="DV91" s="4" t="s">
        <v>600</v>
      </c>
      <c r="DW91" s="4" t="s">
        <v>281</v>
      </c>
      <c r="HO91" s="4" t="s">
        <v>268</v>
      </c>
      <c r="HR91" s="4" t="s">
        <v>269</v>
      </c>
      <c r="HS91" s="4" t="s">
        <v>269</v>
      </c>
    </row>
    <row r="92" spans="1:240" x14ac:dyDescent="0.4">
      <c r="A92" s="4">
        <v>2</v>
      </c>
      <c r="B92" s="4" t="s">
        <v>239</v>
      </c>
      <c r="C92" s="4">
        <v>1176</v>
      </c>
      <c r="D92" s="4">
        <v>1</v>
      </c>
      <c r="E92" s="4">
        <v>1</v>
      </c>
      <c r="F92" s="4" t="s">
        <v>240</v>
      </c>
      <c r="G92" s="4" t="s">
        <v>241</v>
      </c>
      <c r="H92" s="4" t="s">
        <v>241</v>
      </c>
      <c r="I92" s="4" t="s">
        <v>551</v>
      </c>
      <c r="J92" s="4" t="s">
        <v>294</v>
      </c>
      <c r="K92" s="4" t="s">
        <v>249</v>
      </c>
      <c r="L92" s="4" t="s">
        <v>308</v>
      </c>
      <c r="M92" s="5" t="s">
        <v>552</v>
      </c>
      <c r="N92" s="4" t="s">
        <v>308</v>
      </c>
      <c r="O92" s="6">
        <f>16.2</f>
        <v>16.2</v>
      </c>
      <c r="P92" s="4" t="s">
        <v>267</v>
      </c>
      <c r="Q92" s="6">
        <f>1</f>
        <v>1</v>
      </c>
      <c r="R92" s="6">
        <f>1539000</f>
        <v>1539000</v>
      </c>
      <c r="S92" s="5" t="s">
        <v>243</v>
      </c>
      <c r="T92" s="4" t="s">
        <v>322</v>
      </c>
      <c r="U92" s="4" t="s">
        <v>266</v>
      </c>
      <c r="W92" s="6">
        <f>1538999</f>
        <v>1538999</v>
      </c>
      <c r="X92" s="4" t="s">
        <v>292</v>
      </c>
      <c r="Y92" s="4" t="s">
        <v>242</v>
      </c>
      <c r="Z92" s="4" t="s">
        <v>306</v>
      </c>
      <c r="AA92" s="4" t="s">
        <v>241</v>
      </c>
      <c r="AD92" s="4" t="s">
        <v>241</v>
      </c>
      <c r="AF92" s="5" t="s">
        <v>241</v>
      </c>
      <c r="AI92" s="5" t="s">
        <v>244</v>
      </c>
      <c r="AJ92" s="4" t="s">
        <v>245</v>
      </c>
      <c r="AK92" s="4" t="s">
        <v>246</v>
      </c>
      <c r="BA92" s="4" t="s">
        <v>247</v>
      </c>
      <c r="BB92" s="4" t="s">
        <v>241</v>
      </c>
      <c r="BC92" s="4" t="s">
        <v>248</v>
      </c>
      <c r="BD92" s="4" t="s">
        <v>241</v>
      </c>
      <c r="BE92" s="4" t="s">
        <v>250</v>
      </c>
      <c r="BF92" s="4" t="s">
        <v>241</v>
      </c>
      <c r="BJ92" s="4" t="s">
        <v>251</v>
      </c>
      <c r="BK92" s="5" t="s">
        <v>252</v>
      </c>
      <c r="BL92" s="4" t="s">
        <v>253</v>
      </c>
      <c r="BM92" s="4" t="s">
        <v>254</v>
      </c>
      <c r="BN92" s="4" t="s">
        <v>241</v>
      </c>
      <c r="BO92" s="6">
        <f>0</f>
        <v>0</v>
      </c>
      <c r="BP92" s="6">
        <f>0</f>
        <v>0</v>
      </c>
      <c r="BQ92" s="4" t="s">
        <v>255</v>
      </c>
      <c r="BR92" s="4" t="s">
        <v>256</v>
      </c>
      <c r="CF92" s="4" t="s">
        <v>241</v>
      </c>
      <c r="CG92" s="4" t="s">
        <v>241</v>
      </c>
      <c r="CK92" s="4" t="s">
        <v>257</v>
      </c>
      <c r="CL92" s="4" t="s">
        <v>258</v>
      </c>
      <c r="CM92" s="4" t="s">
        <v>241</v>
      </c>
      <c r="CO92" s="4" t="s">
        <v>259</v>
      </c>
      <c r="CP92" s="5" t="s">
        <v>260</v>
      </c>
      <c r="CQ92" s="4" t="s">
        <v>261</v>
      </c>
      <c r="CR92" s="4" t="s">
        <v>262</v>
      </c>
      <c r="CS92" s="4" t="s">
        <v>241</v>
      </c>
      <c r="CT92" s="4" t="s">
        <v>241</v>
      </c>
      <c r="CU92" s="4">
        <v>0</v>
      </c>
      <c r="CV92" s="4" t="s">
        <v>298</v>
      </c>
      <c r="CW92" s="4" t="s">
        <v>299</v>
      </c>
      <c r="CX92" s="4" t="s">
        <v>321</v>
      </c>
      <c r="CZ92" s="6">
        <f>1539000</f>
        <v>1539000</v>
      </c>
      <c r="DA92" s="6">
        <f>0</f>
        <v>0</v>
      </c>
      <c r="DC92" s="4" t="s">
        <v>241</v>
      </c>
      <c r="DD92" s="4" t="s">
        <v>241</v>
      </c>
      <c r="DF92" s="4" t="s">
        <v>241</v>
      </c>
      <c r="DI92" s="4" t="s">
        <v>241</v>
      </c>
      <c r="DJ92" s="4" t="s">
        <v>241</v>
      </c>
      <c r="DK92" s="4" t="s">
        <v>241</v>
      </c>
      <c r="DL92" s="4" t="s">
        <v>241</v>
      </c>
      <c r="DM92" s="4" t="s">
        <v>268</v>
      </c>
      <c r="DN92" s="4" t="s">
        <v>269</v>
      </c>
      <c r="DO92" s="6">
        <f>16.2</f>
        <v>16.2</v>
      </c>
      <c r="DP92" s="4" t="s">
        <v>241</v>
      </c>
      <c r="DQ92" s="4" t="s">
        <v>241</v>
      </c>
      <c r="DR92" s="4" t="s">
        <v>241</v>
      </c>
      <c r="DS92" s="4" t="s">
        <v>241</v>
      </c>
      <c r="DV92" s="4" t="s">
        <v>553</v>
      </c>
      <c r="DW92" s="4" t="s">
        <v>268</v>
      </c>
      <c r="HO92" s="4" t="s">
        <v>268</v>
      </c>
      <c r="HR92" s="4" t="s">
        <v>269</v>
      </c>
      <c r="HS92" s="4" t="s">
        <v>269</v>
      </c>
    </row>
    <row r="93" spans="1:240" x14ac:dyDescent="0.4">
      <c r="A93" s="4">
        <v>2</v>
      </c>
      <c r="B93" s="4" t="s">
        <v>239</v>
      </c>
      <c r="C93" s="4">
        <v>1177</v>
      </c>
      <c r="D93" s="4">
        <v>1</v>
      </c>
      <c r="E93" s="4">
        <v>1</v>
      </c>
      <c r="F93" s="4" t="s">
        <v>240</v>
      </c>
      <c r="G93" s="4" t="s">
        <v>241</v>
      </c>
      <c r="H93" s="4" t="s">
        <v>241</v>
      </c>
      <c r="I93" s="4" t="s">
        <v>769</v>
      </c>
      <c r="J93" s="4" t="s">
        <v>294</v>
      </c>
      <c r="K93" s="4" t="s">
        <v>249</v>
      </c>
      <c r="L93" s="4" t="s">
        <v>308</v>
      </c>
      <c r="M93" s="5" t="s">
        <v>721</v>
      </c>
      <c r="N93" s="4" t="s">
        <v>308</v>
      </c>
      <c r="O93" s="6">
        <f>15.8</f>
        <v>15.8</v>
      </c>
      <c r="P93" s="4" t="s">
        <v>267</v>
      </c>
      <c r="Q93" s="6">
        <f>1</f>
        <v>1</v>
      </c>
      <c r="R93" s="6">
        <f>2449000</f>
        <v>2449000</v>
      </c>
      <c r="S93" s="5" t="s">
        <v>243</v>
      </c>
      <c r="T93" s="4" t="s">
        <v>300</v>
      </c>
      <c r="U93" s="4" t="s">
        <v>266</v>
      </c>
      <c r="W93" s="6">
        <f>2448999</f>
        <v>2448999</v>
      </c>
      <c r="X93" s="4" t="s">
        <v>292</v>
      </c>
      <c r="Y93" s="4" t="s">
        <v>242</v>
      </c>
      <c r="Z93" s="4" t="s">
        <v>306</v>
      </c>
      <c r="AA93" s="4" t="s">
        <v>241</v>
      </c>
      <c r="AD93" s="4" t="s">
        <v>241</v>
      </c>
      <c r="AF93" s="5" t="s">
        <v>241</v>
      </c>
      <c r="AI93" s="5" t="s">
        <v>244</v>
      </c>
      <c r="AJ93" s="4" t="s">
        <v>245</v>
      </c>
      <c r="AK93" s="4" t="s">
        <v>246</v>
      </c>
      <c r="BA93" s="4" t="s">
        <v>247</v>
      </c>
      <c r="BB93" s="4" t="s">
        <v>241</v>
      </c>
      <c r="BC93" s="4" t="s">
        <v>248</v>
      </c>
      <c r="BD93" s="4" t="s">
        <v>241</v>
      </c>
      <c r="BE93" s="4" t="s">
        <v>250</v>
      </c>
      <c r="BF93" s="4" t="s">
        <v>241</v>
      </c>
      <c r="BJ93" s="4" t="s">
        <v>399</v>
      </c>
      <c r="BK93" s="5" t="s">
        <v>244</v>
      </c>
      <c r="BL93" s="4" t="s">
        <v>253</v>
      </c>
      <c r="BM93" s="4" t="s">
        <v>254</v>
      </c>
      <c r="BN93" s="4" t="s">
        <v>241</v>
      </c>
      <c r="BO93" s="6">
        <f>0</f>
        <v>0</v>
      </c>
      <c r="BP93" s="6">
        <f>0</f>
        <v>0</v>
      </c>
      <c r="BQ93" s="4" t="s">
        <v>255</v>
      </c>
      <c r="BR93" s="4" t="s">
        <v>256</v>
      </c>
      <c r="CF93" s="4" t="s">
        <v>241</v>
      </c>
      <c r="CG93" s="4" t="s">
        <v>241</v>
      </c>
      <c r="CK93" s="4" t="s">
        <v>257</v>
      </c>
      <c r="CL93" s="4" t="s">
        <v>258</v>
      </c>
      <c r="CM93" s="4" t="s">
        <v>241</v>
      </c>
      <c r="CO93" s="4" t="s">
        <v>259</v>
      </c>
      <c r="CP93" s="5" t="s">
        <v>260</v>
      </c>
      <c r="CQ93" s="4" t="s">
        <v>261</v>
      </c>
      <c r="CR93" s="4" t="s">
        <v>262</v>
      </c>
      <c r="CS93" s="4" t="s">
        <v>241</v>
      </c>
      <c r="CT93" s="4" t="s">
        <v>241</v>
      </c>
      <c r="CU93" s="4">
        <v>0</v>
      </c>
      <c r="CV93" s="4" t="s">
        <v>298</v>
      </c>
      <c r="CW93" s="4" t="s">
        <v>299</v>
      </c>
      <c r="CX93" s="4" t="s">
        <v>279</v>
      </c>
      <c r="CZ93" s="6">
        <f>2449000</f>
        <v>2449000</v>
      </c>
      <c r="DA93" s="6">
        <f>0</f>
        <v>0</v>
      </c>
      <c r="DC93" s="4" t="s">
        <v>241</v>
      </c>
      <c r="DD93" s="4" t="s">
        <v>241</v>
      </c>
      <c r="DF93" s="4" t="s">
        <v>241</v>
      </c>
      <c r="DI93" s="4" t="s">
        <v>241</v>
      </c>
      <c r="DJ93" s="4" t="s">
        <v>241</v>
      </c>
      <c r="DK93" s="4" t="s">
        <v>241</v>
      </c>
      <c r="DL93" s="4" t="s">
        <v>241</v>
      </c>
      <c r="DM93" s="4" t="s">
        <v>268</v>
      </c>
      <c r="DN93" s="4" t="s">
        <v>269</v>
      </c>
      <c r="DO93" s="6">
        <f>15.8</f>
        <v>15.8</v>
      </c>
      <c r="DP93" s="4" t="s">
        <v>241</v>
      </c>
      <c r="DQ93" s="4" t="s">
        <v>241</v>
      </c>
      <c r="DR93" s="4" t="s">
        <v>241</v>
      </c>
      <c r="DS93" s="4" t="s">
        <v>241</v>
      </c>
      <c r="DV93" s="4" t="s">
        <v>770</v>
      </c>
      <c r="DW93" s="4" t="s">
        <v>268</v>
      </c>
      <c r="HO93" s="4" t="s">
        <v>268</v>
      </c>
      <c r="HR93" s="4" t="s">
        <v>269</v>
      </c>
      <c r="HS93" s="4" t="s">
        <v>269</v>
      </c>
    </row>
    <row r="94" spans="1:240" x14ac:dyDescent="0.4">
      <c r="A94" s="4">
        <v>2</v>
      </c>
      <c r="B94" s="4" t="s">
        <v>239</v>
      </c>
      <c r="C94" s="4">
        <v>1178</v>
      </c>
      <c r="D94" s="4">
        <v>1</v>
      </c>
      <c r="E94" s="4">
        <v>3</v>
      </c>
      <c r="F94" s="4" t="s">
        <v>240</v>
      </c>
      <c r="G94" s="4" t="s">
        <v>241</v>
      </c>
      <c r="H94" s="4" t="s">
        <v>241</v>
      </c>
      <c r="I94" s="4" t="s">
        <v>572</v>
      </c>
      <c r="J94" s="4" t="s">
        <v>294</v>
      </c>
      <c r="K94" s="4" t="s">
        <v>249</v>
      </c>
      <c r="L94" s="4" t="s">
        <v>706</v>
      </c>
      <c r="M94" s="5" t="s">
        <v>573</v>
      </c>
      <c r="N94" s="4" t="s">
        <v>706</v>
      </c>
      <c r="O94" s="6">
        <f>822.34</f>
        <v>822.34</v>
      </c>
      <c r="P94" s="4" t="s">
        <v>267</v>
      </c>
      <c r="Q94" s="6">
        <f>98022940</f>
        <v>98022940</v>
      </c>
      <c r="R94" s="6">
        <f>245057320</f>
        <v>245057320</v>
      </c>
      <c r="S94" s="5" t="s">
        <v>762</v>
      </c>
      <c r="T94" s="4" t="s">
        <v>280</v>
      </c>
      <c r="U94" s="4" t="s">
        <v>530</v>
      </c>
      <c r="V94" s="6">
        <f>4901146</f>
        <v>4901146</v>
      </c>
      <c r="W94" s="6">
        <f>147034380</f>
        <v>147034380</v>
      </c>
      <c r="X94" s="4" t="s">
        <v>292</v>
      </c>
      <c r="Y94" s="4" t="s">
        <v>242</v>
      </c>
      <c r="Z94" s="4" t="s">
        <v>306</v>
      </c>
      <c r="AA94" s="4" t="s">
        <v>241</v>
      </c>
      <c r="AD94" s="4" t="s">
        <v>241</v>
      </c>
      <c r="AE94" s="5" t="s">
        <v>241</v>
      </c>
      <c r="AF94" s="5" t="s">
        <v>241</v>
      </c>
      <c r="AH94" s="5" t="s">
        <v>241</v>
      </c>
      <c r="AI94" s="5" t="s">
        <v>244</v>
      </c>
      <c r="AJ94" s="4" t="s">
        <v>245</v>
      </c>
      <c r="AK94" s="4" t="s">
        <v>246</v>
      </c>
      <c r="AQ94" s="4" t="s">
        <v>241</v>
      </c>
      <c r="AR94" s="4" t="s">
        <v>241</v>
      </c>
      <c r="AS94" s="4" t="s">
        <v>241</v>
      </c>
      <c r="AT94" s="5" t="s">
        <v>241</v>
      </c>
      <c r="AU94" s="5" t="s">
        <v>241</v>
      </c>
      <c r="AV94" s="5" t="s">
        <v>241</v>
      </c>
      <c r="AY94" s="4" t="s">
        <v>271</v>
      </c>
      <c r="AZ94" s="4" t="s">
        <v>271</v>
      </c>
      <c r="BA94" s="4" t="s">
        <v>247</v>
      </c>
      <c r="BB94" s="4" t="s">
        <v>272</v>
      </c>
      <c r="BC94" s="4" t="s">
        <v>248</v>
      </c>
      <c r="BD94" s="4" t="s">
        <v>241</v>
      </c>
      <c r="BE94" s="4" t="s">
        <v>250</v>
      </c>
      <c r="BF94" s="4" t="s">
        <v>241</v>
      </c>
      <c r="BJ94" s="4" t="s">
        <v>273</v>
      </c>
      <c r="BK94" s="5" t="s">
        <v>274</v>
      </c>
      <c r="BL94" s="4" t="s">
        <v>275</v>
      </c>
      <c r="BM94" s="4" t="s">
        <v>275</v>
      </c>
      <c r="BN94" s="4" t="s">
        <v>241</v>
      </c>
      <c r="BO94" s="6">
        <f>0</f>
        <v>0</v>
      </c>
      <c r="BP94" s="6">
        <f>-4901146</f>
        <v>-4901146</v>
      </c>
      <c r="BQ94" s="4" t="s">
        <v>255</v>
      </c>
      <c r="BR94" s="4" t="s">
        <v>256</v>
      </c>
      <c r="BS94" s="4" t="s">
        <v>241</v>
      </c>
      <c r="BT94" s="4" t="s">
        <v>241</v>
      </c>
      <c r="BU94" s="4" t="s">
        <v>241</v>
      </c>
      <c r="BV94" s="4" t="s">
        <v>241</v>
      </c>
      <c r="CE94" s="4" t="s">
        <v>256</v>
      </c>
      <c r="CF94" s="4" t="s">
        <v>241</v>
      </c>
      <c r="CG94" s="4" t="s">
        <v>241</v>
      </c>
      <c r="CK94" s="4" t="s">
        <v>276</v>
      </c>
      <c r="CL94" s="4" t="s">
        <v>258</v>
      </c>
      <c r="CM94" s="4" t="s">
        <v>241</v>
      </c>
      <c r="CO94" s="4" t="s">
        <v>639</v>
      </c>
      <c r="CP94" s="5" t="s">
        <v>260</v>
      </c>
      <c r="CQ94" s="4" t="s">
        <v>261</v>
      </c>
      <c r="CR94" s="4" t="s">
        <v>262</v>
      </c>
      <c r="CS94" s="4" t="s">
        <v>278</v>
      </c>
      <c r="CT94" s="4" t="s">
        <v>241</v>
      </c>
      <c r="CU94" s="4">
        <v>0.02</v>
      </c>
      <c r="CV94" s="4" t="s">
        <v>298</v>
      </c>
      <c r="CW94" s="4" t="s">
        <v>705</v>
      </c>
      <c r="CX94" s="4" t="s">
        <v>279</v>
      </c>
      <c r="CY94" s="6">
        <f>0</f>
        <v>0</v>
      </c>
      <c r="CZ94" s="6">
        <f>245057320</f>
        <v>245057320</v>
      </c>
      <c r="DA94" s="6">
        <f>98022940</f>
        <v>98022940</v>
      </c>
      <c r="DC94" s="4" t="s">
        <v>241</v>
      </c>
      <c r="DD94" s="4" t="s">
        <v>241</v>
      </c>
      <c r="DF94" s="4" t="s">
        <v>241</v>
      </c>
      <c r="DG94" s="6">
        <f>0</f>
        <v>0</v>
      </c>
      <c r="DI94" s="4" t="s">
        <v>241</v>
      </c>
      <c r="DJ94" s="4" t="s">
        <v>241</v>
      </c>
      <c r="DK94" s="4" t="s">
        <v>241</v>
      </c>
      <c r="DL94" s="4" t="s">
        <v>241</v>
      </c>
      <c r="DM94" s="4" t="s">
        <v>268</v>
      </c>
      <c r="DN94" s="4" t="s">
        <v>269</v>
      </c>
      <c r="DO94" s="6">
        <f>822.34</f>
        <v>822.34</v>
      </c>
      <c r="DP94" s="4" t="s">
        <v>241</v>
      </c>
      <c r="DQ94" s="4" t="s">
        <v>241</v>
      </c>
      <c r="DR94" s="4" t="s">
        <v>241</v>
      </c>
      <c r="DS94" s="4" t="s">
        <v>241</v>
      </c>
      <c r="DV94" s="4" t="s">
        <v>574</v>
      </c>
      <c r="DW94" s="4" t="s">
        <v>268</v>
      </c>
      <c r="GN94" s="4" t="s">
        <v>763</v>
      </c>
      <c r="HO94" s="4" t="s">
        <v>310</v>
      </c>
      <c r="HR94" s="4" t="s">
        <v>269</v>
      </c>
      <c r="HS94" s="4" t="s">
        <v>269</v>
      </c>
      <c r="HT94" s="4" t="s">
        <v>241</v>
      </c>
      <c r="HU94" s="4" t="s">
        <v>241</v>
      </c>
      <c r="HV94" s="4" t="s">
        <v>241</v>
      </c>
      <c r="HW94" s="4" t="s">
        <v>241</v>
      </c>
      <c r="HX94" s="4" t="s">
        <v>241</v>
      </c>
      <c r="HY94" s="4" t="s">
        <v>241</v>
      </c>
      <c r="HZ94" s="4" t="s">
        <v>241</v>
      </c>
      <c r="IA94" s="4" t="s">
        <v>241</v>
      </c>
      <c r="IB94" s="4" t="s">
        <v>241</v>
      </c>
      <c r="IC94" s="4" t="s">
        <v>241</v>
      </c>
      <c r="ID94" s="4" t="s">
        <v>241</v>
      </c>
      <c r="IE94" s="4" t="s">
        <v>241</v>
      </c>
      <c r="IF94" s="4" t="s">
        <v>241</v>
      </c>
    </row>
    <row r="95" spans="1:240" x14ac:dyDescent="0.4">
      <c r="A95" s="4">
        <v>2</v>
      </c>
      <c r="B95" s="4" t="s">
        <v>239</v>
      </c>
      <c r="C95" s="4">
        <v>1179</v>
      </c>
      <c r="D95" s="4">
        <v>1</v>
      </c>
      <c r="E95" s="4">
        <v>3</v>
      </c>
      <c r="F95" s="4" t="s">
        <v>240</v>
      </c>
      <c r="G95" s="4" t="s">
        <v>241</v>
      </c>
      <c r="H95" s="4" t="s">
        <v>241</v>
      </c>
      <c r="I95" s="4" t="s">
        <v>572</v>
      </c>
      <c r="J95" s="4" t="s">
        <v>294</v>
      </c>
      <c r="K95" s="4" t="s">
        <v>249</v>
      </c>
      <c r="L95" s="4" t="s">
        <v>308</v>
      </c>
      <c r="M95" s="5" t="s">
        <v>573</v>
      </c>
      <c r="N95" s="4" t="s">
        <v>308</v>
      </c>
      <c r="O95" s="6">
        <f>22.4</f>
        <v>22.4</v>
      </c>
      <c r="P95" s="4" t="s">
        <v>267</v>
      </c>
      <c r="Q95" s="6">
        <f>1042720</f>
        <v>1042720</v>
      </c>
      <c r="R95" s="6">
        <f>5488000</f>
        <v>5488000</v>
      </c>
      <c r="S95" s="5" t="s">
        <v>762</v>
      </c>
      <c r="T95" s="4" t="s">
        <v>300</v>
      </c>
      <c r="U95" s="4" t="s">
        <v>530</v>
      </c>
      <c r="V95" s="6">
        <f>148176</f>
        <v>148176</v>
      </c>
      <c r="W95" s="6">
        <f>4445280</f>
        <v>4445280</v>
      </c>
      <c r="X95" s="4" t="s">
        <v>292</v>
      </c>
      <c r="Y95" s="4" t="s">
        <v>242</v>
      </c>
      <c r="Z95" s="4" t="s">
        <v>306</v>
      </c>
      <c r="AA95" s="4" t="s">
        <v>241</v>
      </c>
      <c r="AD95" s="4" t="s">
        <v>241</v>
      </c>
      <c r="AE95" s="5" t="s">
        <v>241</v>
      </c>
      <c r="AF95" s="5" t="s">
        <v>241</v>
      </c>
      <c r="AH95" s="5" t="s">
        <v>241</v>
      </c>
      <c r="AI95" s="5" t="s">
        <v>244</v>
      </c>
      <c r="AJ95" s="4" t="s">
        <v>245</v>
      </c>
      <c r="AK95" s="4" t="s">
        <v>246</v>
      </c>
      <c r="AQ95" s="4" t="s">
        <v>241</v>
      </c>
      <c r="AR95" s="4" t="s">
        <v>241</v>
      </c>
      <c r="AS95" s="4" t="s">
        <v>241</v>
      </c>
      <c r="AT95" s="5" t="s">
        <v>241</v>
      </c>
      <c r="AU95" s="5" t="s">
        <v>241</v>
      </c>
      <c r="AV95" s="5" t="s">
        <v>241</v>
      </c>
      <c r="AY95" s="4" t="s">
        <v>271</v>
      </c>
      <c r="AZ95" s="4" t="s">
        <v>271</v>
      </c>
      <c r="BA95" s="4" t="s">
        <v>247</v>
      </c>
      <c r="BB95" s="4" t="s">
        <v>272</v>
      </c>
      <c r="BC95" s="4" t="s">
        <v>248</v>
      </c>
      <c r="BD95" s="4" t="s">
        <v>241</v>
      </c>
      <c r="BE95" s="4" t="s">
        <v>250</v>
      </c>
      <c r="BF95" s="4" t="s">
        <v>241</v>
      </c>
      <c r="BJ95" s="4" t="s">
        <v>273</v>
      </c>
      <c r="BK95" s="5" t="s">
        <v>274</v>
      </c>
      <c r="BL95" s="4" t="s">
        <v>275</v>
      </c>
      <c r="BM95" s="4" t="s">
        <v>275</v>
      </c>
      <c r="BN95" s="4" t="s">
        <v>241</v>
      </c>
      <c r="BO95" s="6">
        <f>0</f>
        <v>0</v>
      </c>
      <c r="BP95" s="6">
        <f>-148176</f>
        <v>-148176</v>
      </c>
      <c r="BQ95" s="4" t="s">
        <v>255</v>
      </c>
      <c r="BR95" s="4" t="s">
        <v>256</v>
      </c>
      <c r="BS95" s="4" t="s">
        <v>241</v>
      </c>
      <c r="BT95" s="4" t="s">
        <v>241</v>
      </c>
      <c r="BU95" s="4" t="s">
        <v>241</v>
      </c>
      <c r="BV95" s="4" t="s">
        <v>241</v>
      </c>
      <c r="CE95" s="4" t="s">
        <v>256</v>
      </c>
      <c r="CF95" s="4" t="s">
        <v>241</v>
      </c>
      <c r="CG95" s="4" t="s">
        <v>241</v>
      </c>
      <c r="CK95" s="4" t="s">
        <v>276</v>
      </c>
      <c r="CL95" s="4" t="s">
        <v>258</v>
      </c>
      <c r="CM95" s="4" t="s">
        <v>241</v>
      </c>
      <c r="CO95" s="4" t="s">
        <v>639</v>
      </c>
      <c r="CP95" s="5" t="s">
        <v>260</v>
      </c>
      <c r="CQ95" s="4" t="s">
        <v>261</v>
      </c>
      <c r="CR95" s="4" t="s">
        <v>262</v>
      </c>
      <c r="CS95" s="4" t="s">
        <v>278</v>
      </c>
      <c r="CT95" s="4" t="s">
        <v>241</v>
      </c>
      <c r="CU95" s="4">
        <v>2.7E-2</v>
      </c>
      <c r="CV95" s="4" t="s">
        <v>298</v>
      </c>
      <c r="CW95" s="4" t="s">
        <v>299</v>
      </c>
      <c r="CX95" s="4" t="s">
        <v>279</v>
      </c>
      <c r="CY95" s="6">
        <f>0</f>
        <v>0</v>
      </c>
      <c r="CZ95" s="6">
        <f>5488000</f>
        <v>5488000</v>
      </c>
      <c r="DA95" s="6">
        <f>1042720</f>
        <v>1042720</v>
      </c>
      <c r="DC95" s="4" t="s">
        <v>241</v>
      </c>
      <c r="DD95" s="4" t="s">
        <v>241</v>
      </c>
      <c r="DF95" s="4" t="s">
        <v>241</v>
      </c>
      <c r="DG95" s="6">
        <f>0</f>
        <v>0</v>
      </c>
      <c r="DI95" s="4" t="s">
        <v>241</v>
      </c>
      <c r="DJ95" s="4" t="s">
        <v>241</v>
      </c>
      <c r="DK95" s="4" t="s">
        <v>241</v>
      </c>
      <c r="DL95" s="4" t="s">
        <v>241</v>
      </c>
      <c r="DM95" s="4" t="s">
        <v>268</v>
      </c>
      <c r="DN95" s="4" t="s">
        <v>269</v>
      </c>
      <c r="DO95" s="6">
        <f>22.4</f>
        <v>22.4</v>
      </c>
      <c r="DP95" s="4" t="s">
        <v>241</v>
      </c>
      <c r="DQ95" s="4" t="s">
        <v>241</v>
      </c>
      <c r="DR95" s="4" t="s">
        <v>241</v>
      </c>
      <c r="DS95" s="4" t="s">
        <v>241</v>
      </c>
      <c r="DV95" s="4" t="s">
        <v>574</v>
      </c>
      <c r="DW95" s="4" t="s">
        <v>289</v>
      </c>
      <c r="GN95" s="4" t="s">
        <v>790</v>
      </c>
      <c r="HO95" s="4" t="s">
        <v>310</v>
      </c>
      <c r="HR95" s="4" t="s">
        <v>269</v>
      </c>
      <c r="HS95" s="4" t="s">
        <v>269</v>
      </c>
      <c r="HT95" s="4" t="s">
        <v>241</v>
      </c>
      <c r="HU95" s="4" t="s">
        <v>241</v>
      </c>
      <c r="HV95" s="4" t="s">
        <v>241</v>
      </c>
      <c r="HW95" s="4" t="s">
        <v>241</v>
      </c>
      <c r="HX95" s="4" t="s">
        <v>241</v>
      </c>
      <c r="HY95" s="4" t="s">
        <v>241</v>
      </c>
      <c r="HZ95" s="4" t="s">
        <v>241</v>
      </c>
      <c r="IA95" s="4" t="s">
        <v>241</v>
      </c>
      <c r="IB95" s="4" t="s">
        <v>241</v>
      </c>
      <c r="IC95" s="4" t="s">
        <v>241</v>
      </c>
      <c r="ID95" s="4" t="s">
        <v>241</v>
      </c>
      <c r="IE95" s="4" t="s">
        <v>241</v>
      </c>
      <c r="IF95" s="4" t="s">
        <v>241</v>
      </c>
    </row>
    <row r="96" spans="1:240" x14ac:dyDescent="0.4">
      <c r="A96" s="4">
        <v>2</v>
      </c>
      <c r="B96" s="4" t="s">
        <v>239</v>
      </c>
      <c r="C96" s="4">
        <v>1180</v>
      </c>
      <c r="D96" s="4">
        <v>1</v>
      </c>
      <c r="E96" s="4">
        <v>3</v>
      </c>
      <c r="F96" s="4" t="s">
        <v>240</v>
      </c>
      <c r="G96" s="4" t="s">
        <v>241</v>
      </c>
      <c r="H96" s="4" t="s">
        <v>241</v>
      </c>
      <c r="I96" s="4" t="s">
        <v>572</v>
      </c>
      <c r="J96" s="4" t="s">
        <v>294</v>
      </c>
      <c r="K96" s="4" t="s">
        <v>249</v>
      </c>
      <c r="L96" s="4" t="s">
        <v>308</v>
      </c>
      <c r="M96" s="5" t="s">
        <v>573</v>
      </c>
      <c r="N96" s="4" t="s">
        <v>308</v>
      </c>
      <c r="O96" s="6">
        <f>25.65</f>
        <v>25.65</v>
      </c>
      <c r="P96" s="4" t="s">
        <v>267</v>
      </c>
      <c r="Q96" s="6">
        <f>1388970</f>
        <v>1388970</v>
      </c>
      <c r="R96" s="6">
        <f>7310250</f>
        <v>7310250</v>
      </c>
      <c r="S96" s="5" t="s">
        <v>762</v>
      </c>
      <c r="T96" s="4" t="s">
        <v>300</v>
      </c>
      <c r="U96" s="4" t="s">
        <v>530</v>
      </c>
      <c r="V96" s="6">
        <f>197376</f>
        <v>197376</v>
      </c>
      <c r="W96" s="6">
        <f>5921280</f>
        <v>5921280</v>
      </c>
      <c r="X96" s="4" t="s">
        <v>292</v>
      </c>
      <c r="Y96" s="4" t="s">
        <v>242</v>
      </c>
      <c r="Z96" s="4" t="s">
        <v>306</v>
      </c>
      <c r="AA96" s="4" t="s">
        <v>241</v>
      </c>
      <c r="AD96" s="4" t="s">
        <v>241</v>
      </c>
      <c r="AE96" s="5" t="s">
        <v>241</v>
      </c>
      <c r="AF96" s="5" t="s">
        <v>241</v>
      </c>
      <c r="AH96" s="5" t="s">
        <v>241</v>
      </c>
      <c r="AI96" s="5" t="s">
        <v>244</v>
      </c>
      <c r="AJ96" s="4" t="s">
        <v>245</v>
      </c>
      <c r="AK96" s="4" t="s">
        <v>246</v>
      </c>
      <c r="AQ96" s="4" t="s">
        <v>241</v>
      </c>
      <c r="AR96" s="4" t="s">
        <v>241</v>
      </c>
      <c r="AS96" s="4" t="s">
        <v>241</v>
      </c>
      <c r="AT96" s="5" t="s">
        <v>241</v>
      </c>
      <c r="AU96" s="5" t="s">
        <v>241</v>
      </c>
      <c r="AV96" s="5" t="s">
        <v>241</v>
      </c>
      <c r="AY96" s="4" t="s">
        <v>271</v>
      </c>
      <c r="AZ96" s="4" t="s">
        <v>271</v>
      </c>
      <c r="BA96" s="4" t="s">
        <v>247</v>
      </c>
      <c r="BB96" s="4" t="s">
        <v>272</v>
      </c>
      <c r="BC96" s="4" t="s">
        <v>248</v>
      </c>
      <c r="BD96" s="4" t="s">
        <v>241</v>
      </c>
      <c r="BE96" s="4" t="s">
        <v>250</v>
      </c>
      <c r="BF96" s="4" t="s">
        <v>241</v>
      </c>
      <c r="BJ96" s="4" t="s">
        <v>273</v>
      </c>
      <c r="BK96" s="5" t="s">
        <v>274</v>
      </c>
      <c r="BL96" s="4" t="s">
        <v>275</v>
      </c>
      <c r="BM96" s="4" t="s">
        <v>275</v>
      </c>
      <c r="BN96" s="4" t="s">
        <v>241</v>
      </c>
      <c r="BO96" s="6">
        <f>0</f>
        <v>0</v>
      </c>
      <c r="BP96" s="6">
        <f>-197376</f>
        <v>-197376</v>
      </c>
      <c r="BQ96" s="4" t="s">
        <v>255</v>
      </c>
      <c r="BR96" s="4" t="s">
        <v>256</v>
      </c>
      <c r="BS96" s="4" t="s">
        <v>241</v>
      </c>
      <c r="BT96" s="4" t="s">
        <v>241</v>
      </c>
      <c r="BU96" s="4" t="s">
        <v>241</v>
      </c>
      <c r="BV96" s="4" t="s">
        <v>241</v>
      </c>
      <c r="CE96" s="4" t="s">
        <v>256</v>
      </c>
      <c r="CF96" s="4" t="s">
        <v>241</v>
      </c>
      <c r="CG96" s="4" t="s">
        <v>241</v>
      </c>
      <c r="CK96" s="4" t="s">
        <v>276</v>
      </c>
      <c r="CL96" s="4" t="s">
        <v>258</v>
      </c>
      <c r="CM96" s="4" t="s">
        <v>241</v>
      </c>
      <c r="CO96" s="4" t="s">
        <v>639</v>
      </c>
      <c r="CP96" s="5" t="s">
        <v>260</v>
      </c>
      <c r="CQ96" s="4" t="s">
        <v>261</v>
      </c>
      <c r="CR96" s="4" t="s">
        <v>262</v>
      </c>
      <c r="CS96" s="4" t="s">
        <v>278</v>
      </c>
      <c r="CT96" s="4" t="s">
        <v>241</v>
      </c>
      <c r="CU96" s="4">
        <v>2.7E-2</v>
      </c>
      <c r="CV96" s="4" t="s">
        <v>298</v>
      </c>
      <c r="CW96" s="4" t="s">
        <v>299</v>
      </c>
      <c r="CX96" s="4" t="s">
        <v>279</v>
      </c>
      <c r="CY96" s="6">
        <f>0</f>
        <v>0</v>
      </c>
      <c r="CZ96" s="6">
        <f>7310250</f>
        <v>7310250</v>
      </c>
      <c r="DA96" s="6">
        <f>1388970</f>
        <v>1388970</v>
      </c>
      <c r="DC96" s="4" t="s">
        <v>241</v>
      </c>
      <c r="DD96" s="4" t="s">
        <v>241</v>
      </c>
      <c r="DF96" s="4" t="s">
        <v>241</v>
      </c>
      <c r="DG96" s="6">
        <f>0</f>
        <v>0</v>
      </c>
      <c r="DI96" s="4" t="s">
        <v>241</v>
      </c>
      <c r="DJ96" s="4" t="s">
        <v>241</v>
      </c>
      <c r="DK96" s="4" t="s">
        <v>241</v>
      </c>
      <c r="DL96" s="4" t="s">
        <v>241</v>
      </c>
      <c r="DM96" s="4" t="s">
        <v>268</v>
      </c>
      <c r="DN96" s="4" t="s">
        <v>269</v>
      </c>
      <c r="DO96" s="6">
        <f>25.65</f>
        <v>25.65</v>
      </c>
      <c r="DP96" s="4" t="s">
        <v>241</v>
      </c>
      <c r="DQ96" s="4" t="s">
        <v>241</v>
      </c>
      <c r="DR96" s="4" t="s">
        <v>241</v>
      </c>
      <c r="DS96" s="4" t="s">
        <v>241</v>
      </c>
      <c r="DV96" s="4" t="s">
        <v>574</v>
      </c>
      <c r="DW96" s="4" t="s">
        <v>281</v>
      </c>
      <c r="GN96" s="4" t="s">
        <v>789</v>
      </c>
      <c r="HO96" s="4" t="s">
        <v>310</v>
      </c>
      <c r="HR96" s="4" t="s">
        <v>269</v>
      </c>
      <c r="HS96" s="4" t="s">
        <v>269</v>
      </c>
      <c r="HT96" s="4" t="s">
        <v>241</v>
      </c>
      <c r="HU96" s="4" t="s">
        <v>241</v>
      </c>
      <c r="HV96" s="4" t="s">
        <v>241</v>
      </c>
      <c r="HW96" s="4" t="s">
        <v>241</v>
      </c>
      <c r="HX96" s="4" t="s">
        <v>241</v>
      </c>
      <c r="HY96" s="4" t="s">
        <v>241</v>
      </c>
      <c r="HZ96" s="4" t="s">
        <v>241</v>
      </c>
      <c r="IA96" s="4" t="s">
        <v>241</v>
      </c>
      <c r="IB96" s="4" t="s">
        <v>241</v>
      </c>
      <c r="IC96" s="4" t="s">
        <v>241</v>
      </c>
      <c r="ID96" s="4" t="s">
        <v>241</v>
      </c>
      <c r="IE96" s="4" t="s">
        <v>241</v>
      </c>
      <c r="IF96" s="4" t="s">
        <v>241</v>
      </c>
    </row>
    <row r="97" spans="1:240" x14ac:dyDescent="0.4">
      <c r="A97" s="4">
        <v>2</v>
      </c>
      <c r="B97" s="4" t="s">
        <v>239</v>
      </c>
      <c r="C97" s="4">
        <v>1181</v>
      </c>
      <c r="D97" s="4">
        <v>1</v>
      </c>
      <c r="E97" s="4">
        <v>1</v>
      </c>
      <c r="F97" s="4" t="s">
        <v>240</v>
      </c>
      <c r="G97" s="4" t="s">
        <v>241</v>
      </c>
      <c r="H97" s="4" t="s">
        <v>241</v>
      </c>
      <c r="I97" s="4" t="s">
        <v>572</v>
      </c>
      <c r="J97" s="4" t="s">
        <v>294</v>
      </c>
      <c r="K97" s="4" t="s">
        <v>249</v>
      </c>
      <c r="L97" s="4" t="s">
        <v>308</v>
      </c>
      <c r="M97" s="5" t="s">
        <v>573</v>
      </c>
      <c r="N97" s="4" t="s">
        <v>308</v>
      </c>
      <c r="O97" s="6">
        <f>21.28</f>
        <v>21.28</v>
      </c>
      <c r="P97" s="4" t="s">
        <v>267</v>
      </c>
      <c r="Q97" s="6">
        <f>1</f>
        <v>1</v>
      </c>
      <c r="R97" s="6">
        <f>3298400</f>
        <v>3298400</v>
      </c>
      <c r="S97" s="5" t="s">
        <v>243</v>
      </c>
      <c r="T97" s="4" t="s">
        <v>300</v>
      </c>
      <c r="U97" s="4" t="s">
        <v>266</v>
      </c>
      <c r="W97" s="6">
        <f>3298399</f>
        <v>3298399</v>
      </c>
      <c r="X97" s="4" t="s">
        <v>292</v>
      </c>
      <c r="Y97" s="4" t="s">
        <v>242</v>
      </c>
      <c r="Z97" s="4" t="s">
        <v>306</v>
      </c>
      <c r="AA97" s="4" t="s">
        <v>241</v>
      </c>
      <c r="AD97" s="4" t="s">
        <v>241</v>
      </c>
      <c r="AF97" s="5" t="s">
        <v>241</v>
      </c>
      <c r="AI97" s="5" t="s">
        <v>244</v>
      </c>
      <c r="AJ97" s="4" t="s">
        <v>245</v>
      </c>
      <c r="AK97" s="4" t="s">
        <v>246</v>
      </c>
      <c r="BA97" s="4" t="s">
        <v>247</v>
      </c>
      <c r="BB97" s="4" t="s">
        <v>241</v>
      </c>
      <c r="BC97" s="4" t="s">
        <v>248</v>
      </c>
      <c r="BD97" s="4" t="s">
        <v>241</v>
      </c>
      <c r="BE97" s="4" t="s">
        <v>250</v>
      </c>
      <c r="BF97" s="4" t="s">
        <v>241</v>
      </c>
      <c r="BJ97" s="4" t="s">
        <v>251</v>
      </c>
      <c r="BK97" s="5" t="s">
        <v>252</v>
      </c>
      <c r="BL97" s="4" t="s">
        <v>253</v>
      </c>
      <c r="BM97" s="4" t="s">
        <v>254</v>
      </c>
      <c r="BN97" s="4" t="s">
        <v>241</v>
      </c>
      <c r="BO97" s="6">
        <f>0</f>
        <v>0</v>
      </c>
      <c r="BP97" s="6">
        <f>0</f>
        <v>0</v>
      </c>
      <c r="BQ97" s="4" t="s">
        <v>255</v>
      </c>
      <c r="BR97" s="4" t="s">
        <v>256</v>
      </c>
      <c r="CF97" s="4" t="s">
        <v>241</v>
      </c>
      <c r="CG97" s="4" t="s">
        <v>241</v>
      </c>
      <c r="CK97" s="4" t="s">
        <v>257</v>
      </c>
      <c r="CL97" s="4" t="s">
        <v>258</v>
      </c>
      <c r="CM97" s="4" t="s">
        <v>241</v>
      </c>
      <c r="CO97" s="4" t="s">
        <v>259</v>
      </c>
      <c r="CP97" s="5" t="s">
        <v>260</v>
      </c>
      <c r="CQ97" s="4" t="s">
        <v>261</v>
      </c>
      <c r="CR97" s="4" t="s">
        <v>262</v>
      </c>
      <c r="CS97" s="4" t="s">
        <v>241</v>
      </c>
      <c r="CT97" s="4" t="s">
        <v>241</v>
      </c>
      <c r="CU97" s="4">
        <v>0</v>
      </c>
      <c r="CV97" s="4" t="s">
        <v>298</v>
      </c>
      <c r="CW97" s="4" t="s">
        <v>299</v>
      </c>
      <c r="CX97" s="4" t="s">
        <v>279</v>
      </c>
      <c r="CZ97" s="6">
        <f>3298400</f>
        <v>3298400</v>
      </c>
      <c r="DA97" s="6">
        <f>0</f>
        <v>0</v>
      </c>
      <c r="DC97" s="4" t="s">
        <v>241</v>
      </c>
      <c r="DD97" s="4" t="s">
        <v>241</v>
      </c>
      <c r="DF97" s="4" t="s">
        <v>241</v>
      </c>
      <c r="DI97" s="4" t="s">
        <v>241</v>
      </c>
      <c r="DJ97" s="4" t="s">
        <v>241</v>
      </c>
      <c r="DK97" s="4" t="s">
        <v>241</v>
      </c>
      <c r="DL97" s="4" t="s">
        <v>241</v>
      </c>
      <c r="DM97" s="4" t="s">
        <v>268</v>
      </c>
      <c r="DN97" s="4" t="s">
        <v>269</v>
      </c>
      <c r="DO97" s="6">
        <f>21.28</f>
        <v>21.28</v>
      </c>
      <c r="DP97" s="4" t="s">
        <v>241</v>
      </c>
      <c r="DQ97" s="4" t="s">
        <v>241</v>
      </c>
      <c r="DR97" s="4" t="s">
        <v>241</v>
      </c>
      <c r="DS97" s="4" t="s">
        <v>241</v>
      </c>
      <c r="DV97" s="4" t="s">
        <v>574</v>
      </c>
      <c r="DW97" s="4" t="s">
        <v>304</v>
      </c>
      <c r="HO97" s="4" t="s">
        <v>268</v>
      </c>
      <c r="HR97" s="4" t="s">
        <v>269</v>
      </c>
      <c r="HS97" s="4" t="s">
        <v>269</v>
      </c>
    </row>
    <row r="98" spans="1:240" x14ac:dyDescent="0.4">
      <c r="A98" s="4">
        <v>2</v>
      </c>
      <c r="B98" s="4" t="s">
        <v>239</v>
      </c>
      <c r="C98" s="4">
        <v>1182</v>
      </c>
      <c r="D98" s="4">
        <v>1</v>
      </c>
      <c r="E98" s="4">
        <v>1</v>
      </c>
      <c r="F98" s="4" t="s">
        <v>290</v>
      </c>
      <c r="G98" s="4" t="s">
        <v>241</v>
      </c>
      <c r="H98" s="4" t="s">
        <v>241</v>
      </c>
      <c r="I98" s="4" t="s">
        <v>572</v>
      </c>
      <c r="J98" s="4" t="s">
        <v>294</v>
      </c>
      <c r="K98" s="4" t="s">
        <v>249</v>
      </c>
      <c r="L98" s="4" t="s">
        <v>621</v>
      </c>
      <c r="M98" s="5" t="s">
        <v>573</v>
      </c>
      <c r="N98" s="4" t="s">
        <v>621</v>
      </c>
      <c r="O98" s="6">
        <f>75.6</f>
        <v>75.599999999999994</v>
      </c>
      <c r="P98" s="4" t="s">
        <v>267</v>
      </c>
      <c r="Q98" s="6">
        <f>1</f>
        <v>1</v>
      </c>
      <c r="R98" s="6">
        <f>5974000</f>
        <v>5974000</v>
      </c>
      <c r="S98" s="5" t="s">
        <v>661</v>
      </c>
      <c r="T98" s="4" t="s">
        <v>322</v>
      </c>
      <c r="U98" s="4" t="s">
        <v>363</v>
      </c>
      <c r="W98" s="6">
        <f>5973999</f>
        <v>5973999</v>
      </c>
      <c r="X98" s="4" t="s">
        <v>292</v>
      </c>
      <c r="Y98" s="4" t="s">
        <v>242</v>
      </c>
      <c r="Z98" s="4" t="s">
        <v>306</v>
      </c>
      <c r="AA98" s="4" t="s">
        <v>241</v>
      </c>
      <c r="AD98" s="4" t="s">
        <v>241</v>
      </c>
      <c r="AF98" s="5" t="s">
        <v>241</v>
      </c>
      <c r="AI98" s="5" t="s">
        <v>602</v>
      </c>
      <c r="AJ98" s="4" t="s">
        <v>245</v>
      </c>
      <c r="AK98" s="4" t="s">
        <v>246</v>
      </c>
      <c r="BA98" s="4" t="s">
        <v>247</v>
      </c>
      <c r="BB98" s="4" t="s">
        <v>241</v>
      </c>
      <c r="BC98" s="4" t="s">
        <v>248</v>
      </c>
      <c r="BD98" s="4" t="s">
        <v>241</v>
      </c>
      <c r="BE98" s="4" t="s">
        <v>250</v>
      </c>
      <c r="BF98" s="4" t="s">
        <v>241</v>
      </c>
      <c r="BJ98" s="4" t="s">
        <v>427</v>
      </c>
      <c r="BK98" s="5" t="s">
        <v>602</v>
      </c>
      <c r="BL98" s="4" t="s">
        <v>253</v>
      </c>
      <c r="BM98" s="4" t="s">
        <v>254</v>
      </c>
      <c r="BN98" s="4" t="s">
        <v>241</v>
      </c>
      <c r="BO98" s="6">
        <f>0</f>
        <v>0</v>
      </c>
      <c r="BP98" s="6">
        <f>0</f>
        <v>0</v>
      </c>
      <c r="BQ98" s="4" t="s">
        <v>255</v>
      </c>
      <c r="BR98" s="4" t="s">
        <v>256</v>
      </c>
      <c r="CF98" s="4" t="s">
        <v>241</v>
      </c>
      <c r="CG98" s="4" t="s">
        <v>241</v>
      </c>
      <c r="CK98" s="4" t="s">
        <v>276</v>
      </c>
      <c r="CL98" s="4" t="s">
        <v>258</v>
      </c>
      <c r="CM98" s="4" t="s">
        <v>241</v>
      </c>
      <c r="CO98" s="4" t="s">
        <v>429</v>
      </c>
      <c r="CP98" s="5" t="s">
        <v>260</v>
      </c>
      <c r="CQ98" s="4" t="s">
        <v>261</v>
      </c>
      <c r="CR98" s="4" t="s">
        <v>262</v>
      </c>
      <c r="CS98" s="4" t="s">
        <v>241</v>
      </c>
      <c r="CT98" s="4" t="s">
        <v>241</v>
      </c>
      <c r="CU98" s="4">
        <v>0</v>
      </c>
      <c r="CV98" s="4" t="s">
        <v>298</v>
      </c>
      <c r="CW98" s="4" t="s">
        <v>263</v>
      </c>
      <c r="CX98" s="4" t="s">
        <v>321</v>
      </c>
      <c r="CZ98" s="6">
        <f>5974000</f>
        <v>5974000</v>
      </c>
      <c r="DA98" s="6">
        <f>0</f>
        <v>0</v>
      </c>
      <c r="DC98" s="4" t="s">
        <v>241</v>
      </c>
      <c r="DD98" s="4" t="s">
        <v>241</v>
      </c>
      <c r="DF98" s="4" t="s">
        <v>241</v>
      </c>
      <c r="DI98" s="4" t="s">
        <v>241</v>
      </c>
      <c r="DJ98" s="4" t="s">
        <v>241</v>
      </c>
      <c r="DK98" s="4" t="s">
        <v>241</v>
      </c>
      <c r="DL98" s="4" t="s">
        <v>241</v>
      </c>
      <c r="DM98" s="4" t="s">
        <v>269</v>
      </c>
      <c r="DN98" s="4" t="s">
        <v>269</v>
      </c>
      <c r="DO98" s="6">
        <f>75.6</f>
        <v>75.599999999999994</v>
      </c>
      <c r="DP98" s="4" t="s">
        <v>241</v>
      </c>
      <c r="DQ98" s="4" t="s">
        <v>241</v>
      </c>
      <c r="DR98" s="4" t="s">
        <v>241</v>
      </c>
      <c r="DS98" s="4" t="s">
        <v>241</v>
      </c>
      <c r="DV98" s="4" t="s">
        <v>574</v>
      </c>
      <c r="DW98" s="4" t="s">
        <v>330</v>
      </c>
      <c r="HO98" s="4" t="s">
        <v>268</v>
      </c>
      <c r="HR98" s="4" t="s">
        <v>269</v>
      </c>
      <c r="HS98" s="4" t="s">
        <v>269</v>
      </c>
    </row>
    <row r="99" spans="1:240" x14ac:dyDescent="0.4">
      <c r="A99" s="4">
        <v>2</v>
      </c>
      <c r="B99" s="4" t="s">
        <v>239</v>
      </c>
      <c r="C99" s="4">
        <v>1183</v>
      </c>
      <c r="D99" s="4">
        <v>1</v>
      </c>
      <c r="E99" s="4">
        <v>3</v>
      </c>
      <c r="F99" s="4" t="s">
        <v>290</v>
      </c>
      <c r="G99" s="4" t="s">
        <v>241</v>
      </c>
      <c r="H99" s="4" t="s">
        <v>241</v>
      </c>
      <c r="I99" s="4" t="s">
        <v>572</v>
      </c>
      <c r="J99" s="4" t="s">
        <v>294</v>
      </c>
      <c r="K99" s="4" t="s">
        <v>249</v>
      </c>
      <c r="L99" s="4" t="s">
        <v>241</v>
      </c>
      <c r="M99" s="5" t="s">
        <v>573</v>
      </c>
      <c r="N99" s="4" t="s">
        <v>704</v>
      </c>
      <c r="O99" s="6">
        <f>1031.09</f>
        <v>1031.0899999999999</v>
      </c>
      <c r="P99" s="4" t="s">
        <v>267</v>
      </c>
      <c r="Q99" s="6">
        <f>44161200</f>
        <v>44161200</v>
      </c>
      <c r="R99" s="6">
        <f>46980000</f>
        <v>46980000</v>
      </c>
      <c r="S99" s="5" t="s">
        <v>252</v>
      </c>
      <c r="T99" s="4" t="s">
        <v>280</v>
      </c>
      <c r="U99" s="4" t="s">
        <v>289</v>
      </c>
      <c r="V99" s="6">
        <f>939600</f>
        <v>939600</v>
      </c>
      <c r="W99" s="6">
        <f>2818800</f>
        <v>2818800</v>
      </c>
      <c r="X99" s="4" t="s">
        <v>292</v>
      </c>
      <c r="Y99" s="4" t="s">
        <v>242</v>
      </c>
      <c r="Z99" s="4" t="s">
        <v>241</v>
      </c>
      <c r="AA99" s="4" t="s">
        <v>241</v>
      </c>
      <c r="AD99" s="4" t="s">
        <v>241</v>
      </c>
      <c r="AE99" s="5" t="s">
        <v>241</v>
      </c>
      <c r="AF99" s="5" t="s">
        <v>241</v>
      </c>
      <c r="AH99" s="5" t="s">
        <v>241</v>
      </c>
      <c r="AI99" s="5" t="s">
        <v>602</v>
      </c>
      <c r="AJ99" s="4" t="s">
        <v>245</v>
      </c>
      <c r="AK99" s="4" t="s">
        <v>246</v>
      </c>
      <c r="AQ99" s="4" t="s">
        <v>241</v>
      </c>
      <c r="AR99" s="4" t="s">
        <v>241</v>
      </c>
      <c r="AS99" s="4" t="s">
        <v>241</v>
      </c>
      <c r="AT99" s="5" t="s">
        <v>241</v>
      </c>
      <c r="AU99" s="5" t="s">
        <v>241</v>
      </c>
      <c r="AV99" s="5" t="s">
        <v>241</v>
      </c>
      <c r="AY99" s="4" t="s">
        <v>271</v>
      </c>
      <c r="AZ99" s="4" t="s">
        <v>271</v>
      </c>
      <c r="BA99" s="4" t="s">
        <v>247</v>
      </c>
      <c r="BB99" s="4" t="s">
        <v>272</v>
      </c>
      <c r="BC99" s="4" t="s">
        <v>248</v>
      </c>
      <c r="BD99" s="4" t="s">
        <v>241</v>
      </c>
      <c r="BE99" s="4" t="s">
        <v>250</v>
      </c>
      <c r="BF99" s="4" t="s">
        <v>241</v>
      </c>
      <c r="BJ99" s="4" t="s">
        <v>273</v>
      </c>
      <c r="BK99" s="5" t="s">
        <v>274</v>
      </c>
      <c r="BL99" s="4" t="s">
        <v>275</v>
      </c>
      <c r="BM99" s="4" t="s">
        <v>275</v>
      </c>
      <c r="BN99" s="4" t="s">
        <v>241</v>
      </c>
      <c r="BO99" s="6">
        <f>0</f>
        <v>0</v>
      </c>
      <c r="BP99" s="6">
        <f>-939600</f>
        <v>-939600</v>
      </c>
      <c r="BQ99" s="4" t="s">
        <v>255</v>
      </c>
      <c r="BR99" s="4" t="s">
        <v>256</v>
      </c>
      <c r="BS99" s="4" t="s">
        <v>241</v>
      </c>
      <c r="BT99" s="4" t="s">
        <v>241</v>
      </c>
      <c r="BU99" s="4" t="s">
        <v>241</v>
      </c>
      <c r="BV99" s="4" t="s">
        <v>241</v>
      </c>
      <c r="CE99" s="4" t="s">
        <v>256</v>
      </c>
      <c r="CF99" s="4" t="s">
        <v>241</v>
      </c>
      <c r="CG99" s="4" t="s">
        <v>241</v>
      </c>
      <c r="CK99" s="4" t="s">
        <v>276</v>
      </c>
      <c r="CL99" s="4" t="s">
        <v>258</v>
      </c>
      <c r="CM99" s="4" t="s">
        <v>241</v>
      </c>
      <c r="CO99" s="4" t="s">
        <v>603</v>
      </c>
      <c r="CP99" s="5" t="s">
        <v>260</v>
      </c>
      <c r="CQ99" s="4" t="s">
        <v>261</v>
      </c>
      <c r="CR99" s="4" t="s">
        <v>262</v>
      </c>
      <c r="CS99" s="4" t="s">
        <v>278</v>
      </c>
      <c r="CT99" s="4" t="s">
        <v>241</v>
      </c>
      <c r="CU99" s="4">
        <v>0.02</v>
      </c>
      <c r="CV99" s="4" t="s">
        <v>298</v>
      </c>
      <c r="CW99" s="4" t="s">
        <v>705</v>
      </c>
      <c r="CX99" s="4" t="s">
        <v>279</v>
      </c>
      <c r="CY99" s="6">
        <f>0</f>
        <v>0</v>
      </c>
      <c r="CZ99" s="6">
        <f>46980000</f>
        <v>46980000</v>
      </c>
      <c r="DA99" s="6">
        <f>44161200</f>
        <v>44161200</v>
      </c>
      <c r="DC99" s="4" t="s">
        <v>241</v>
      </c>
      <c r="DD99" s="4" t="s">
        <v>241</v>
      </c>
      <c r="DF99" s="4" t="s">
        <v>241</v>
      </c>
      <c r="DG99" s="6">
        <f>0</f>
        <v>0</v>
      </c>
      <c r="DI99" s="4" t="s">
        <v>241</v>
      </c>
      <c r="DJ99" s="4" t="s">
        <v>241</v>
      </c>
      <c r="DK99" s="4" t="s">
        <v>241</v>
      </c>
      <c r="DL99" s="4" t="s">
        <v>241</v>
      </c>
      <c r="DM99" s="4" t="s">
        <v>269</v>
      </c>
      <c r="DN99" s="4" t="s">
        <v>269</v>
      </c>
      <c r="DO99" s="6">
        <f>1031.09</f>
        <v>1031.0899999999999</v>
      </c>
      <c r="DP99" s="4" t="s">
        <v>241</v>
      </c>
      <c r="DQ99" s="4" t="s">
        <v>241</v>
      </c>
      <c r="DR99" s="4" t="s">
        <v>241</v>
      </c>
      <c r="DS99" s="4" t="s">
        <v>241</v>
      </c>
      <c r="DV99" s="4" t="s">
        <v>574</v>
      </c>
      <c r="DW99" s="4" t="s">
        <v>282</v>
      </c>
      <c r="GN99" s="4" t="s">
        <v>743</v>
      </c>
      <c r="HO99" s="4" t="s">
        <v>330</v>
      </c>
      <c r="HR99" s="4" t="s">
        <v>269</v>
      </c>
      <c r="HS99" s="4" t="s">
        <v>269</v>
      </c>
      <c r="HT99" s="4" t="s">
        <v>241</v>
      </c>
      <c r="HU99" s="4" t="s">
        <v>241</v>
      </c>
      <c r="HV99" s="4" t="s">
        <v>241</v>
      </c>
      <c r="HW99" s="4" t="s">
        <v>241</v>
      </c>
      <c r="HX99" s="4" t="s">
        <v>241</v>
      </c>
      <c r="HY99" s="4" t="s">
        <v>241</v>
      </c>
      <c r="HZ99" s="4" t="s">
        <v>241</v>
      </c>
      <c r="IA99" s="4" t="s">
        <v>241</v>
      </c>
      <c r="IB99" s="4" t="s">
        <v>241</v>
      </c>
      <c r="IC99" s="4" t="s">
        <v>241</v>
      </c>
      <c r="ID99" s="4" t="s">
        <v>241</v>
      </c>
      <c r="IE99" s="4" t="s">
        <v>241</v>
      </c>
      <c r="IF99" s="4" t="s">
        <v>241</v>
      </c>
    </row>
    <row r="100" spans="1:240" x14ac:dyDescent="0.4">
      <c r="A100" s="4">
        <v>2</v>
      </c>
      <c r="B100" s="4" t="s">
        <v>239</v>
      </c>
      <c r="C100" s="4">
        <v>1184</v>
      </c>
      <c r="D100" s="4">
        <v>1</v>
      </c>
      <c r="E100" s="4">
        <v>3</v>
      </c>
      <c r="F100" s="4" t="s">
        <v>290</v>
      </c>
      <c r="G100" s="4" t="s">
        <v>241</v>
      </c>
      <c r="H100" s="4" t="s">
        <v>241</v>
      </c>
      <c r="I100" s="4" t="s">
        <v>572</v>
      </c>
      <c r="J100" s="4" t="s">
        <v>294</v>
      </c>
      <c r="K100" s="4" t="s">
        <v>249</v>
      </c>
      <c r="L100" s="4" t="s">
        <v>241</v>
      </c>
      <c r="M100" s="5" t="s">
        <v>573</v>
      </c>
      <c r="N100" s="4" t="s">
        <v>601</v>
      </c>
      <c r="O100" s="6">
        <f>0</f>
        <v>0</v>
      </c>
      <c r="P100" s="4" t="s">
        <v>267</v>
      </c>
      <c r="Q100" s="6">
        <f>11378124</f>
        <v>11378124</v>
      </c>
      <c r="R100" s="6">
        <f>14796000</f>
        <v>14796000</v>
      </c>
      <c r="S100" s="5" t="s">
        <v>252</v>
      </c>
      <c r="T100" s="4" t="s">
        <v>288</v>
      </c>
      <c r="U100" s="4" t="s">
        <v>289</v>
      </c>
      <c r="V100" s="6">
        <f>1139292</f>
        <v>1139292</v>
      </c>
      <c r="W100" s="6">
        <f>3417876</f>
        <v>3417876</v>
      </c>
      <c r="X100" s="4" t="s">
        <v>292</v>
      </c>
      <c r="Y100" s="4" t="s">
        <v>242</v>
      </c>
      <c r="Z100" s="4" t="s">
        <v>241</v>
      </c>
      <c r="AA100" s="4" t="s">
        <v>241</v>
      </c>
      <c r="AD100" s="4" t="s">
        <v>241</v>
      </c>
      <c r="AE100" s="5" t="s">
        <v>241</v>
      </c>
      <c r="AF100" s="5" t="s">
        <v>241</v>
      </c>
      <c r="AH100" s="5" t="s">
        <v>241</v>
      </c>
      <c r="AI100" s="5" t="s">
        <v>602</v>
      </c>
      <c r="AJ100" s="4" t="s">
        <v>245</v>
      </c>
      <c r="AK100" s="4" t="s">
        <v>246</v>
      </c>
      <c r="AQ100" s="4" t="s">
        <v>241</v>
      </c>
      <c r="AR100" s="4" t="s">
        <v>241</v>
      </c>
      <c r="AS100" s="4" t="s">
        <v>241</v>
      </c>
      <c r="AT100" s="5" t="s">
        <v>241</v>
      </c>
      <c r="AU100" s="5" t="s">
        <v>241</v>
      </c>
      <c r="AV100" s="5" t="s">
        <v>241</v>
      </c>
      <c r="AY100" s="4" t="s">
        <v>271</v>
      </c>
      <c r="AZ100" s="4" t="s">
        <v>271</v>
      </c>
      <c r="BA100" s="4" t="s">
        <v>247</v>
      </c>
      <c r="BB100" s="4" t="s">
        <v>272</v>
      </c>
      <c r="BC100" s="4" t="s">
        <v>248</v>
      </c>
      <c r="BD100" s="4" t="s">
        <v>241</v>
      </c>
      <c r="BE100" s="4" t="s">
        <v>250</v>
      </c>
      <c r="BF100" s="4" t="s">
        <v>241</v>
      </c>
      <c r="BJ100" s="4" t="s">
        <v>273</v>
      </c>
      <c r="BK100" s="5" t="s">
        <v>274</v>
      </c>
      <c r="BL100" s="4" t="s">
        <v>275</v>
      </c>
      <c r="BM100" s="4" t="s">
        <v>275</v>
      </c>
      <c r="BN100" s="4" t="s">
        <v>241</v>
      </c>
      <c r="BP100" s="6">
        <f>-1139292</f>
        <v>-1139292</v>
      </c>
      <c r="BQ100" s="4" t="s">
        <v>255</v>
      </c>
      <c r="BR100" s="4" t="s">
        <v>256</v>
      </c>
      <c r="BS100" s="4" t="s">
        <v>241</v>
      </c>
      <c r="BT100" s="4" t="s">
        <v>241</v>
      </c>
      <c r="BU100" s="4" t="s">
        <v>241</v>
      </c>
      <c r="BV100" s="4" t="s">
        <v>241</v>
      </c>
      <c r="CE100" s="4" t="s">
        <v>256</v>
      </c>
      <c r="CF100" s="4" t="s">
        <v>241</v>
      </c>
      <c r="CG100" s="4" t="s">
        <v>241</v>
      </c>
      <c r="CK100" s="4" t="s">
        <v>276</v>
      </c>
      <c r="CL100" s="4" t="s">
        <v>258</v>
      </c>
      <c r="CM100" s="4" t="s">
        <v>241</v>
      </c>
      <c r="CO100" s="4" t="s">
        <v>603</v>
      </c>
      <c r="CP100" s="5" t="s">
        <v>260</v>
      </c>
      <c r="CQ100" s="4" t="s">
        <v>261</v>
      </c>
      <c r="CR100" s="4" t="s">
        <v>262</v>
      </c>
      <c r="CS100" s="4" t="s">
        <v>278</v>
      </c>
      <c r="CT100" s="4" t="s">
        <v>241</v>
      </c>
      <c r="CU100" s="4">
        <v>7.6999999999999999E-2</v>
      </c>
      <c r="CV100" s="4" t="s">
        <v>298</v>
      </c>
      <c r="CW100" s="4" t="s">
        <v>594</v>
      </c>
      <c r="CX100" s="4" t="s">
        <v>619</v>
      </c>
      <c r="CY100" s="6">
        <f>0</f>
        <v>0</v>
      </c>
      <c r="CZ100" s="6">
        <f>14796000</f>
        <v>14796000</v>
      </c>
      <c r="DA100" s="6">
        <f>11378124</f>
        <v>11378124</v>
      </c>
      <c r="DC100" s="4" t="s">
        <v>241</v>
      </c>
      <c r="DD100" s="4" t="s">
        <v>241</v>
      </c>
      <c r="DF100" s="4" t="s">
        <v>241</v>
      </c>
      <c r="DG100" s="6">
        <f>0</f>
        <v>0</v>
      </c>
      <c r="DI100" s="4" t="s">
        <v>241</v>
      </c>
      <c r="DJ100" s="4" t="s">
        <v>241</v>
      </c>
      <c r="DK100" s="4" t="s">
        <v>241</v>
      </c>
      <c r="DL100" s="4" t="s">
        <v>241</v>
      </c>
      <c r="DM100" s="4" t="s">
        <v>269</v>
      </c>
      <c r="DN100" s="4" t="s">
        <v>269</v>
      </c>
      <c r="DO100" s="6" t="s">
        <v>241</v>
      </c>
      <c r="DP100" s="4" t="s">
        <v>241</v>
      </c>
      <c r="DQ100" s="4" t="s">
        <v>241</v>
      </c>
      <c r="DR100" s="4" t="s">
        <v>241</v>
      </c>
      <c r="DS100" s="4" t="s">
        <v>241</v>
      </c>
      <c r="DV100" s="4" t="s">
        <v>574</v>
      </c>
      <c r="DW100" s="4" t="s">
        <v>310</v>
      </c>
      <c r="GN100" s="4" t="s">
        <v>620</v>
      </c>
      <c r="HO100" s="4" t="s">
        <v>330</v>
      </c>
      <c r="HR100" s="4" t="s">
        <v>269</v>
      </c>
      <c r="HS100" s="4" t="s">
        <v>269</v>
      </c>
      <c r="HT100" s="4" t="s">
        <v>241</v>
      </c>
      <c r="HU100" s="4" t="s">
        <v>241</v>
      </c>
      <c r="HV100" s="4" t="s">
        <v>241</v>
      </c>
      <c r="HW100" s="4" t="s">
        <v>241</v>
      </c>
      <c r="HX100" s="4" t="s">
        <v>241</v>
      </c>
      <c r="HY100" s="4" t="s">
        <v>241</v>
      </c>
      <c r="HZ100" s="4" t="s">
        <v>241</v>
      </c>
      <c r="IA100" s="4" t="s">
        <v>241</v>
      </c>
      <c r="IB100" s="4" t="s">
        <v>241</v>
      </c>
      <c r="IC100" s="4" t="s">
        <v>241</v>
      </c>
      <c r="ID100" s="4" t="s">
        <v>241</v>
      </c>
      <c r="IE100" s="4" t="s">
        <v>241</v>
      </c>
      <c r="IF100" s="4" t="s">
        <v>241</v>
      </c>
    </row>
    <row r="101" spans="1:240" x14ac:dyDescent="0.4">
      <c r="A101" s="4">
        <v>2</v>
      </c>
      <c r="B101" s="4" t="s">
        <v>239</v>
      </c>
      <c r="C101" s="4">
        <v>1185</v>
      </c>
      <c r="D101" s="4">
        <v>1</v>
      </c>
      <c r="E101" s="4">
        <v>3</v>
      </c>
      <c r="F101" s="4" t="s">
        <v>290</v>
      </c>
      <c r="G101" s="4" t="s">
        <v>241</v>
      </c>
      <c r="H101" s="4" t="s">
        <v>241</v>
      </c>
      <c r="I101" s="4" t="s">
        <v>572</v>
      </c>
      <c r="J101" s="4" t="s">
        <v>294</v>
      </c>
      <c r="K101" s="4" t="s">
        <v>249</v>
      </c>
      <c r="L101" s="4" t="s">
        <v>241</v>
      </c>
      <c r="M101" s="5" t="s">
        <v>573</v>
      </c>
      <c r="N101" s="4" t="s">
        <v>601</v>
      </c>
      <c r="O101" s="6">
        <f>0</f>
        <v>0</v>
      </c>
      <c r="P101" s="4" t="s">
        <v>267</v>
      </c>
      <c r="Q101" s="6">
        <f>15144246</f>
        <v>15144246</v>
      </c>
      <c r="R101" s="6">
        <f>18954000</f>
        <v>18954000</v>
      </c>
      <c r="S101" s="5" t="s">
        <v>252</v>
      </c>
      <c r="T101" s="4" t="s">
        <v>322</v>
      </c>
      <c r="U101" s="4" t="s">
        <v>289</v>
      </c>
      <c r="V101" s="6">
        <f>1269918</f>
        <v>1269918</v>
      </c>
      <c r="W101" s="6">
        <f>3809754</f>
        <v>3809754</v>
      </c>
      <c r="X101" s="4" t="s">
        <v>292</v>
      </c>
      <c r="Y101" s="4" t="s">
        <v>242</v>
      </c>
      <c r="Z101" s="4" t="s">
        <v>241</v>
      </c>
      <c r="AA101" s="4" t="s">
        <v>241</v>
      </c>
      <c r="AD101" s="4" t="s">
        <v>241</v>
      </c>
      <c r="AE101" s="5" t="s">
        <v>241</v>
      </c>
      <c r="AF101" s="5" t="s">
        <v>241</v>
      </c>
      <c r="AH101" s="5" t="s">
        <v>241</v>
      </c>
      <c r="AI101" s="5" t="s">
        <v>602</v>
      </c>
      <c r="AJ101" s="4" t="s">
        <v>245</v>
      </c>
      <c r="AK101" s="4" t="s">
        <v>246</v>
      </c>
      <c r="AQ101" s="4" t="s">
        <v>241</v>
      </c>
      <c r="AR101" s="4" t="s">
        <v>241</v>
      </c>
      <c r="AS101" s="4" t="s">
        <v>241</v>
      </c>
      <c r="AT101" s="5" t="s">
        <v>241</v>
      </c>
      <c r="AU101" s="5" t="s">
        <v>241</v>
      </c>
      <c r="AV101" s="5" t="s">
        <v>241</v>
      </c>
      <c r="AY101" s="4" t="s">
        <v>271</v>
      </c>
      <c r="AZ101" s="4" t="s">
        <v>271</v>
      </c>
      <c r="BA101" s="4" t="s">
        <v>247</v>
      </c>
      <c r="BB101" s="4" t="s">
        <v>272</v>
      </c>
      <c r="BC101" s="4" t="s">
        <v>248</v>
      </c>
      <c r="BD101" s="4" t="s">
        <v>241</v>
      </c>
      <c r="BE101" s="4" t="s">
        <v>250</v>
      </c>
      <c r="BF101" s="4" t="s">
        <v>241</v>
      </c>
      <c r="BJ101" s="4" t="s">
        <v>273</v>
      </c>
      <c r="BK101" s="5" t="s">
        <v>274</v>
      </c>
      <c r="BL101" s="4" t="s">
        <v>275</v>
      </c>
      <c r="BM101" s="4" t="s">
        <v>275</v>
      </c>
      <c r="BN101" s="4" t="s">
        <v>241</v>
      </c>
      <c r="BP101" s="6">
        <f>-1269918</f>
        <v>-1269918</v>
      </c>
      <c r="BQ101" s="4" t="s">
        <v>255</v>
      </c>
      <c r="BR101" s="4" t="s">
        <v>256</v>
      </c>
      <c r="BS101" s="4" t="s">
        <v>241</v>
      </c>
      <c r="BT101" s="4" t="s">
        <v>241</v>
      </c>
      <c r="BU101" s="4" t="s">
        <v>241</v>
      </c>
      <c r="BV101" s="4" t="s">
        <v>241</v>
      </c>
      <c r="CE101" s="4" t="s">
        <v>256</v>
      </c>
      <c r="CF101" s="4" t="s">
        <v>241</v>
      </c>
      <c r="CG101" s="4" t="s">
        <v>241</v>
      </c>
      <c r="CK101" s="4" t="s">
        <v>276</v>
      </c>
      <c r="CL101" s="4" t="s">
        <v>258</v>
      </c>
      <c r="CM101" s="4" t="s">
        <v>241</v>
      </c>
      <c r="CO101" s="4" t="s">
        <v>603</v>
      </c>
      <c r="CP101" s="5" t="s">
        <v>260</v>
      </c>
      <c r="CQ101" s="4" t="s">
        <v>261</v>
      </c>
      <c r="CR101" s="4" t="s">
        <v>262</v>
      </c>
      <c r="CS101" s="4" t="s">
        <v>278</v>
      </c>
      <c r="CT101" s="4" t="s">
        <v>241</v>
      </c>
      <c r="CU101" s="4">
        <v>6.7000000000000004E-2</v>
      </c>
      <c r="CV101" s="4" t="s">
        <v>298</v>
      </c>
      <c r="CW101" s="4" t="s">
        <v>594</v>
      </c>
      <c r="CX101" s="4" t="s">
        <v>604</v>
      </c>
      <c r="CY101" s="6">
        <f>0</f>
        <v>0</v>
      </c>
      <c r="CZ101" s="6">
        <f>18954000</f>
        <v>18954000</v>
      </c>
      <c r="DA101" s="6">
        <f>15144246</f>
        <v>15144246</v>
      </c>
      <c r="DC101" s="4" t="s">
        <v>241</v>
      </c>
      <c r="DD101" s="4" t="s">
        <v>241</v>
      </c>
      <c r="DF101" s="4" t="s">
        <v>241</v>
      </c>
      <c r="DG101" s="6">
        <f>0</f>
        <v>0</v>
      </c>
      <c r="DI101" s="4" t="s">
        <v>241</v>
      </c>
      <c r="DJ101" s="4" t="s">
        <v>241</v>
      </c>
      <c r="DK101" s="4" t="s">
        <v>241</v>
      </c>
      <c r="DL101" s="4" t="s">
        <v>241</v>
      </c>
      <c r="DM101" s="4" t="s">
        <v>269</v>
      </c>
      <c r="DN101" s="4" t="s">
        <v>269</v>
      </c>
      <c r="DO101" s="6" t="s">
        <v>241</v>
      </c>
      <c r="DP101" s="4" t="s">
        <v>241</v>
      </c>
      <c r="DQ101" s="4" t="s">
        <v>241</v>
      </c>
      <c r="DR101" s="4" t="s">
        <v>241</v>
      </c>
      <c r="DS101" s="4" t="s">
        <v>241</v>
      </c>
      <c r="DV101" s="4" t="s">
        <v>574</v>
      </c>
      <c r="DW101" s="4" t="s">
        <v>315</v>
      </c>
      <c r="GN101" s="4" t="s">
        <v>605</v>
      </c>
      <c r="HO101" s="4" t="s">
        <v>330</v>
      </c>
      <c r="HR101" s="4" t="s">
        <v>269</v>
      </c>
      <c r="HS101" s="4" t="s">
        <v>269</v>
      </c>
      <c r="HT101" s="4" t="s">
        <v>241</v>
      </c>
      <c r="HU101" s="4" t="s">
        <v>241</v>
      </c>
      <c r="HV101" s="4" t="s">
        <v>241</v>
      </c>
      <c r="HW101" s="4" t="s">
        <v>241</v>
      </c>
      <c r="HX101" s="4" t="s">
        <v>241</v>
      </c>
      <c r="HY101" s="4" t="s">
        <v>241</v>
      </c>
      <c r="HZ101" s="4" t="s">
        <v>241</v>
      </c>
      <c r="IA101" s="4" t="s">
        <v>241</v>
      </c>
      <c r="IB101" s="4" t="s">
        <v>241</v>
      </c>
      <c r="IC101" s="4" t="s">
        <v>241</v>
      </c>
      <c r="ID101" s="4" t="s">
        <v>241</v>
      </c>
      <c r="IE101" s="4" t="s">
        <v>241</v>
      </c>
      <c r="IF101" s="4" t="s">
        <v>241</v>
      </c>
    </row>
    <row r="102" spans="1:240" x14ac:dyDescent="0.4">
      <c r="A102" s="4">
        <v>2</v>
      </c>
      <c r="B102" s="4" t="s">
        <v>239</v>
      </c>
      <c r="C102" s="4">
        <v>1186</v>
      </c>
      <c r="D102" s="4">
        <v>1</v>
      </c>
      <c r="E102" s="4">
        <v>1</v>
      </c>
      <c r="F102" s="4" t="s">
        <v>240</v>
      </c>
      <c r="G102" s="4" t="s">
        <v>241</v>
      </c>
      <c r="H102" s="4" t="s">
        <v>241</v>
      </c>
      <c r="I102" s="4" t="s">
        <v>554</v>
      </c>
      <c r="J102" s="4" t="s">
        <v>294</v>
      </c>
      <c r="K102" s="4" t="s">
        <v>249</v>
      </c>
      <c r="L102" s="4" t="s">
        <v>308</v>
      </c>
      <c r="M102" s="5" t="s">
        <v>555</v>
      </c>
      <c r="N102" s="4" t="s">
        <v>308</v>
      </c>
      <c r="O102" s="6">
        <f>10.8</f>
        <v>10.8</v>
      </c>
      <c r="P102" s="4" t="s">
        <v>267</v>
      </c>
      <c r="Q102" s="6">
        <f>1</f>
        <v>1</v>
      </c>
      <c r="R102" s="6">
        <f>1080000</f>
        <v>1080000</v>
      </c>
      <c r="S102" s="5" t="s">
        <v>243</v>
      </c>
      <c r="T102" s="4" t="s">
        <v>355</v>
      </c>
      <c r="U102" s="4" t="s">
        <v>266</v>
      </c>
      <c r="W102" s="6">
        <f>1079999</f>
        <v>1079999</v>
      </c>
      <c r="X102" s="4" t="s">
        <v>292</v>
      </c>
      <c r="Y102" s="4" t="s">
        <v>242</v>
      </c>
      <c r="Z102" s="4" t="s">
        <v>306</v>
      </c>
      <c r="AA102" s="4" t="s">
        <v>241</v>
      </c>
      <c r="AD102" s="4" t="s">
        <v>241</v>
      </c>
      <c r="AF102" s="5" t="s">
        <v>241</v>
      </c>
      <c r="AI102" s="5" t="s">
        <v>244</v>
      </c>
      <c r="AJ102" s="4" t="s">
        <v>245</v>
      </c>
      <c r="AK102" s="4" t="s">
        <v>246</v>
      </c>
      <c r="BA102" s="4" t="s">
        <v>247</v>
      </c>
      <c r="BB102" s="4" t="s">
        <v>241</v>
      </c>
      <c r="BC102" s="4" t="s">
        <v>248</v>
      </c>
      <c r="BD102" s="4" t="s">
        <v>241</v>
      </c>
      <c r="BE102" s="4" t="s">
        <v>250</v>
      </c>
      <c r="BF102" s="4" t="s">
        <v>241</v>
      </c>
      <c r="BJ102" s="4" t="s">
        <v>399</v>
      </c>
      <c r="BK102" s="5" t="s">
        <v>244</v>
      </c>
      <c r="BL102" s="4" t="s">
        <v>253</v>
      </c>
      <c r="BM102" s="4" t="s">
        <v>254</v>
      </c>
      <c r="BN102" s="4" t="s">
        <v>241</v>
      </c>
      <c r="BO102" s="6">
        <f>0</f>
        <v>0</v>
      </c>
      <c r="BP102" s="6">
        <f>0</f>
        <v>0</v>
      </c>
      <c r="BQ102" s="4" t="s">
        <v>255</v>
      </c>
      <c r="BR102" s="4" t="s">
        <v>256</v>
      </c>
      <c r="CF102" s="4" t="s">
        <v>241</v>
      </c>
      <c r="CG102" s="4" t="s">
        <v>241</v>
      </c>
      <c r="CK102" s="4" t="s">
        <v>257</v>
      </c>
      <c r="CL102" s="4" t="s">
        <v>258</v>
      </c>
      <c r="CM102" s="4" t="s">
        <v>241</v>
      </c>
      <c r="CO102" s="4" t="s">
        <v>259</v>
      </c>
      <c r="CP102" s="5" t="s">
        <v>260</v>
      </c>
      <c r="CQ102" s="4" t="s">
        <v>261</v>
      </c>
      <c r="CR102" s="4" t="s">
        <v>262</v>
      </c>
      <c r="CS102" s="4" t="s">
        <v>241</v>
      </c>
      <c r="CT102" s="4" t="s">
        <v>241</v>
      </c>
      <c r="CU102" s="4">
        <v>0</v>
      </c>
      <c r="CV102" s="4" t="s">
        <v>298</v>
      </c>
      <c r="CW102" s="4" t="s">
        <v>299</v>
      </c>
      <c r="CX102" s="4" t="s">
        <v>354</v>
      </c>
      <c r="CZ102" s="6">
        <f>1080000</f>
        <v>1080000</v>
      </c>
      <c r="DA102" s="6">
        <f>0</f>
        <v>0</v>
      </c>
      <c r="DC102" s="4" t="s">
        <v>241</v>
      </c>
      <c r="DD102" s="4" t="s">
        <v>241</v>
      </c>
      <c r="DF102" s="4" t="s">
        <v>241</v>
      </c>
      <c r="DI102" s="4" t="s">
        <v>241</v>
      </c>
      <c r="DJ102" s="4" t="s">
        <v>241</v>
      </c>
      <c r="DK102" s="4" t="s">
        <v>241</v>
      </c>
      <c r="DL102" s="4" t="s">
        <v>241</v>
      </c>
      <c r="DM102" s="4" t="s">
        <v>268</v>
      </c>
      <c r="DN102" s="4" t="s">
        <v>269</v>
      </c>
      <c r="DO102" s="6">
        <f>10.8</f>
        <v>10.8</v>
      </c>
      <c r="DP102" s="4" t="s">
        <v>241</v>
      </c>
      <c r="DQ102" s="4" t="s">
        <v>241</v>
      </c>
      <c r="DR102" s="4" t="s">
        <v>241</v>
      </c>
      <c r="DS102" s="4" t="s">
        <v>241</v>
      </c>
      <c r="DV102" s="4" t="s">
        <v>556</v>
      </c>
      <c r="DW102" s="4" t="s">
        <v>268</v>
      </c>
      <c r="HO102" s="4" t="s">
        <v>268</v>
      </c>
      <c r="HR102" s="4" t="s">
        <v>269</v>
      </c>
      <c r="HS102" s="4" t="s">
        <v>269</v>
      </c>
    </row>
    <row r="103" spans="1:240" x14ac:dyDescent="0.4">
      <c r="A103" s="4">
        <v>2</v>
      </c>
      <c r="B103" s="4" t="s">
        <v>239</v>
      </c>
      <c r="C103" s="4">
        <v>1199</v>
      </c>
      <c r="D103" s="4">
        <v>1</v>
      </c>
      <c r="E103" s="4">
        <v>1</v>
      </c>
      <c r="F103" s="4" t="s">
        <v>240</v>
      </c>
      <c r="G103" s="4" t="s">
        <v>241</v>
      </c>
      <c r="H103" s="4" t="s">
        <v>241</v>
      </c>
      <c r="I103" s="4" t="s">
        <v>734</v>
      </c>
      <c r="J103" s="4" t="s">
        <v>294</v>
      </c>
      <c r="K103" s="4" t="s">
        <v>249</v>
      </c>
      <c r="L103" s="4" t="s">
        <v>576</v>
      </c>
      <c r="M103" s="5" t="s">
        <v>736</v>
      </c>
      <c r="N103" s="4" t="s">
        <v>733</v>
      </c>
      <c r="O103" s="6">
        <f>232.2</f>
        <v>232.2</v>
      </c>
      <c r="P103" s="4" t="s">
        <v>267</v>
      </c>
      <c r="Q103" s="6">
        <f>1</f>
        <v>1</v>
      </c>
      <c r="R103" s="6">
        <f>39241800</f>
        <v>39241800</v>
      </c>
      <c r="S103" s="5" t="s">
        <v>735</v>
      </c>
      <c r="T103" s="4" t="s">
        <v>285</v>
      </c>
      <c r="U103" s="4" t="s">
        <v>265</v>
      </c>
      <c r="W103" s="6">
        <f>39241799</f>
        <v>39241799</v>
      </c>
      <c r="X103" s="4" t="s">
        <v>292</v>
      </c>
      <c r="Y103" s="4" t="s">
        <v>242</v>
      </c>
      <c r="Z103" s="4" t="s">
        <v>306</v>
      </c>
      <c r="AA103" s="4" t="s">
        <v>241</v>
      </c>
      <c r="AD103" s="4" t="s">
        <v>241</v>
      </c>
      <c r="AF103" s="5" t="s">
        <v>241</v>
      </c>
      <c r="AI103" s="5" t="s">
        <v>244</v>
      </c>
      <c r="AJ103" s="4" t="s">
        <v>245</v>
      </c>
      <c r="AK103" s="4" t="s">
        <v>246</v>
      </c>
      <c r="BA103" s="4" t="s">
        <v>247</v>
      </c>
      <c r="BB103" s="4" t="s">
        <v>241</v>
      </c>
      <c r="BC103" s="4" t="s">
        <v>248</v>
      </c>
      <c r="BD103" s="4" t="s">
        <v>241</v>
      </c>
      <c r="BE103" s="4" t="s">
        <v>250</v>
      </c>
      <c r="BF103" s="4" t="s">
        <v>241</v>
      </c>
      <c r="BJ103" s="4" t="s">
        <v>399</v>
      </c>
      <c r="BK103" s="5" t="s">
        <v>244</v>
      </c>
      <c r="BL103" s="4" t="s">
        <v>253</v>
      </c>
      <c r="BM103" s="4" t="s">
        <v>254</v>
      </c>
      <c r="BN103" s="4" t="s">
        <v>241</v>
      </c>
      <c r="BO103" s="6">
        <f>0</f>
        <v>0</v>
      </c>
      <c r="BP103" s="6">
        <f>0</f>
        <v>0</v>
      </c>
      <c r="BQ103" s="4" t="s">
        <v>255</v>
      </c>
      <c r="BR103" s="4" t="s">
        <v>256</v>
      </c>
      <c r="CF103" s="4" t="s">
        <v>241</v>
      </c>
      <c r="CG103" s="4" t="s">
        <v>241</v>
      </c>
      <c r="CK103" s="4" t="s">
        <v>276</v>
      </c>
      <c r="CL103" s="4" t="s">
        <v>258</v>
      </c>
      <c r="CM103" s="4" t="s">
        <v>241</v>
      </c>
      <c r="CO103" s="4" t="s">
        <v>639</v>
      </c>
      <c r="CP103" s="5" t="s">
        <v>260</v>
      </c>
      <c r="CQ103" s="4" t="s">
        <v>261</v>
      </c>
      <c r="CR103" s="4" t="s">
        <v>262</v>
      </c>
      <c r="CS103" s="4" t="s">
        <v>241</v>
      </c>
      <c r="CT103" s="4" t="s">
        <v>241</v>
      </c>
      <c r="CU103" s="4">
        <v>0</v>
      </c>
      <c r="CV103" s="4" t="s">
        <v>298</v>
      </c>
      <c r="CW103" s="4" t="s">
        <v>702</v>
      </c>
      <c r="CX103" s="4" t="s">
        <v>321</v>
      </c>
      <c r="CZ103" s="6">
        <f>39241800</f>
        <v>39241800</v>
      </c>
      <c r="DA103" s="6">
        <f>0</f>
        <v>0</v>
      </c>
      <c r="DC103" s="4" t="s">
        <v>241</v>
      </c>
      <c r="DD103" s="4" t="s">
        <v>241</v>
      </c>
      <c r="DF103" s="4" t="s">
        <v>241</v>
      </c>
      <c r="DI103" s="4" t="s">
        <v>241</v>
      </c>
      <c r="DJ103" s="4" t="s">
        <v>241</v>
      </c>
      <c r="DK103" s="4" t="s">
        <v>241</v>
      </c>
      <c r="DL103" s="4" t="s">
        <v>241</v>
      </c>
      <c r="DM103" s="4" t="s">
        <v>268</v>
      </c>
      <c r="DN103" s="4" t="s">
        <v>269</v>
      </c>
      <c r="DO103" s="6">
        <f>232.2</f>
        <v>232.2</v>
      </c>
      <c r="DP103" s="4" t="s">
        <v>241</v>
      </c>
      <c r="DQ103" s="4" t="s">
        <v>241</v>
      </c>
      <c r="DR103" s="4" t="s">
        <v>241</v>
      </c>
      <c r="DS103" s="4" t="s">
        <v>241</v>
      </c>
      <c r="DV103" s="4" t="s">
        <v>737</v>
      </c>
      <c r="DW103" s="4" t="s">
        <v>268</v>
      </c>
      <c r="HO103" s="4" t="s">
        <v>268</v>
      </c>
      <c r="HR103" s="4" t="s">
        <v>269</v>
      </c>
      <c r="HS103" s="4" t="s">
        <v>269</v>
      </c>
    </row>
    <row r="104" spans="1:240" x14ac:dyDescent="0.4">
      <c r="A104" s="4">
        <v>2</v>
      </c>
      <c r="B104" s="4" t="s">
        <v>239</v>
      </c>
      <c r="C104" s="4">
        <v>1200</v>
      </c>
      <c r="D104" s="4">
        <v>1</v>
      </c>
      <c r="E104" s="4">
        <v>1</v>
      </c>
      <c r="F104" s="4" t="s">
        <v>240</v>
      </c>
      <c r="G104" s="4" t="s">
        <v>241</v>
      </c>
      <c r="H104" s="4" t="s">
        <v>241</v>
      </c>
      <c r="I104" s="4" t="s">
        <v>627</v>
      </c>
      <c r="J104" s="4" t="s">
        <v>294</v>
      </c>
      <c r="K104" s="4" t="s">
        <v>249</v>
      </c>
      <c r="L104" s="4" t="s">
        <v>706</v>
      </c>
      <c r="M104" s="5" t="s">
        <v>628</v>
      </c>
      <c r="N104" s="4" t="s">
        <v>706</v>
      </c>
      <c r="O104" s="6">
        <f>143.8</f>
        <v>143.80000000000001</v>
      </c>
      <c r="P104" s="4" t="s">
        <v>267</v>
      </c>
      <c r="Q104" s="6">
        <f>1</f>
        <v>1</v>
      </c>
      <c r="R104" s="6">
        <f>32642600</f>
        <v>32642600</v>
      </c>
      <c r="S104" s="5" t="s">
        <v>738</v>
      </c>
      <c r="T104" s="4" t="s">
        <v>265</v>
      </c>
      <c r="U104" s="4" t="s">
        <v>265</v>
      </c>
      <c r="W104" s="6">
        <f>32642599</f>
        <v>32642599</v>
      </c>
      <c r="X104" s="4" t="s">
        <v>292</v>
      </c>
      <c r="Y104" s="4" t="s">
        <v>242</v>
      </c>
      <c r="Z104" s="4" t="s">
        <v>306</v>
      </c>
      <c r="AA104" s="4" t="s">
        <v>241</v>
      </c>
      <c r="AD104" s="4" t="s">
        <v>241</v>
      </c>
      <c r="AF104" s="5" t="s">
        <v>241</v>
      </c>
      <c r="AI104" s="5" t="s">
        <v>244</v>
      </c>
      <c r="AJ104" s="4" t="s">
        <v>245</v>
      </c>
      <c r="AK104" s="4" t="s">
        <v>246</v>
      </c>
      <c r="BA104" s="4" t="s">
        <v>247</v>
      </c>
      <c r="BB104" s="4" t="s">
        <v>241</v>
      </c>
      <c r="BC104" s="4" t="s">
        <v>248</v>
      </c>
      <c r="BD104" s="4" t="s">
        <v>241</v>
      </c>
      <c r="BE104" s="4" t="s">
        <v>250</v>
      </c>
      <c r="BF104" s="4" t="s">
        <v>241</v>
      </c>
      <c r="BJ104" s="4" t="s">
        <v>399</v>
      </c>
      <c r="BK104" s="5" t="s">
        <v>244</v>
      </c>
      <c r="BL104" s="4" t="s">
        <v>253</v>
      </c>
      <c r="BM104" s="4" t="s">
        <v>275</v>
      </c>
      <c r="BN104" s="4" t="s">
        <v>241</v>
      </c>
      <c r="BO104" s="6">
        <f>0</f>
        <v>0</v>
      </c>
      <c r="BP104" s="6">
        <f>0</f>
        <v>0</v>
      </c>
      <c r="BQ104" s="4" t="s">
        <v>255</v>
      </c>
      <c r="BR104" s="4" t="s">
        <v>256</v>
      </c>
      <c r="CF104" s="4" t="s">
        <v>241</v>
      </c>
      <c r="CG104" s="4" t="s">
        <v>241</v>
      </c>
      <c r="CK104" s="4" t="s">
        <v>276</v>
      </c>
      <c r="CL104" s="4" t="s">
        <v>258</v>
      </c>
      <c r="CM104" s="4" t="s">
        <v>241</v>
      </c>
      <c r="CO104" s="4" t="s">
        <v>353</v>
      </c>
      <c r="CP104" s="5" t="s">
        <v>260</v>
      </c>
      <c r="CQ104" s="4" t="s">
        <v>261</v>
      </c>
      <c r="CR104" s="4" t="s">
        <v>262</v>
      </c>
      <c r="CS104" s="4" t="s">
        <v>241</v>
      </c>
      <c r="CT104" s="4" t="s">
        <v>241</v>
      </c>
      <c r="CU104" s="4">
        <v>0</v>
      </c>
      <c r="CV104" s="4" t="s">
        <v>298</v>
      </c>
      <c r="CW104" s="4" t="s">
        <v>705</v>
      </c>
      <c r="CX104" s="4" t="s">
        <v>321</v>
      </c>
      <c r="CZ104" s="6">
        <f>32642600</f>
        <v>32642600</v>
      </c>
      <c r="DA104" s="6">
        <f>0</f>
        <v>0</v>
      </c>
      <c r="DC104" s="4" t="s">
        <v>241</v>
      </c>
      <c r="DD104" s="4" t="s">
        <v>241</v>
      </c>
      <c r="DF104" s="4" t="s">
        <v>241</v>
      </c>
      <c r="DI104" s="4" t="s">
        <v>241</v>
      </c>
      <c r="DJ104" s="4" t="s">
        <v>241</v>
      </c>
      <c r="DK104" s="4" t="s">
        <v>241</v>
      </c>
      <c r="DL104" s="4" t="s">
        <v>241</v>
      </c>
      <c r="DM104" s="4" t="s">
        <v>268</v>
      </c>
      <c r="DN104" s="4" t="s">
        <v>269</v>
      </c>
      <c r="DO104" s="6">
        <f>143.8</f>
        <v>143.80000000000001</v>
      </c>
      <c r="DP104" s="4" t="s">
        <v>241</v>
      </c>
      <c r="DQ104" s="4" t="s">
        <v>241</v>
      </c>
      <c r="DR104" s="4" t="s">
        <v>241</v>
      </c>
      <c r="DS104" s="4" t="s">
        <v>241</v>
      </c>
      <c r="DV104" s="4" t="s">
        <v>629</v>
      </c>
      <c r="DW104" s="4" t="s">
        <v>268</v>
      </c>
      <c r="HO104" s="4" t="s">
        <v>281</v>
      </c>
      <c r="HR104" s="4" t="s">
        <v>269</v>
      </c>
      <c r="HS104" s="4" t="s">
        <v>269</v>
      </c>
    </row>
    <row r="105" spans="1:240" x14ac:dyDescent="0.4">
      <c r="A105" s="4">
        <v>2</v>
      </c>
      <c r="B105" s="4" t="s">
        <v>239</v>
      </c>
      <c r="C105" s="4">
        <v>1201</v>
      </c>
      <c r="D105" s="4">
        <v>1</v>
      </c>
      <c r="E105" s="4">
        <v>3</v>
      </c>
      <c r="F105" s="4" t="s">
        <v>240</v>
      </c>
      <c r="G105" s="4" t="s">
        <v>241</v>
      </c>
      <c r="H105" s="4" t="s">
        <v>241</v>
      </c>
      <c r="I105" s="4" t="s">
        <v>627</v>
      </c>
      <c r="J105" s="4" t="s">
        <v>294</v>
      </c>
      <c r="K105" s="4" t="s">
        <v>249</v>
      </c>
      <c r="L105" s="4" t="s">
        <v>576</v>
      </c>
      <c r="M105" s="5" t="s">
        <v>628</v>
      </c>
      <c r="N105" s="4" t="s">
        <v>741</v>
      </c>
      <c r="O105" s="6">
        <f>537.32</f>
        <v>537.32000000000005</v>
      </c>
      <c r="P105" s="4" t="s">
        <v>267</v>
      </c>
      <c r="Q105" s="6">
        <f>65724988</f>
        <v>65724988</v>
      </c>
      <c r="R105" s="6">
        <f>149374960</f>
        <v>149374960</v>
      </c>
      <c r="S105" s="5" t="s">
        <v>738</v>
      </c>
      <c r="T105" s="4" t="s">
        <v>280</v>
      </c>
      <c r="U105" s="4" t="s">
        <v>356</v>
      </c>
      <c r="V105" s="6">
        <f>2987499</f>
        <v>2987499</v>
      </c>
      <c r="W105" s="6">
        <f>83649972</f>
        <v>83649972</v>
      </c>
      <c r="X105" s="4" t="s">
        <v>292</v>
      </c>
      <c r="Y105" s="4" t="s">
        <v>242</v>
      </c>
      <c r="Z105" s="4" t="s">
        <v>306</v>
      </c>
      <c r="AA105" s="4" t="s">
        <v>241</v>
      </c>
      <c r="AD105" s="4" t="s">
        <v>241</v>
      </c>
      <c r="AE105" s="5" t="s">
        <v>241</v>
      </c>
      <c r="AF105" s="5" t="s">
        <v>241</v>
      </c>
      <c r="AH105" s="5" t="s">
        <v>241</v>
      </c>
      <c r="AI105" s="5" t="s">
        <v>244</v>
      </c>
      <c r="AJ105" s="4" t="s">
        <v>245</v>
      </c>
      <c r="AK105" s="4" t="s">
        <v>246</v>
      </c>
      <c r="AQ105" s="4" t="s">
        <v>241</v>
      </c>
      <c r="AR105" s="4" t="s">
        <v>241</v>
      </c>
      <c r="AS105" s="4" t="s">
        <v>241</v>
      </c>
      <c r="AT105" s="5" t="s">
        <v>241</v>
      </c>
      <c r="AU105" s="5" t="s">
        <v>241</v>
      </c>
      <c r="AV105" s="5" t="s">
        <v>241</v>
      </c>
      <c r="AY105" s="4" t="s">
        <v>271</v>
      </c>
      <c r="AZ105" s="4" t="s">
        <v>271</v>
      </c>
      <c r="BA105" s="4" t="s">
        <v>247</v>
      </c>
      <c r="BB105" s="4" t="s">
        <v>272</v>
      </c>
      <c r="BC105" s="4" t="s">
        <v>248</v>
      </c>
      <c r="BD105" s="4" t="s">
        <v>241</v>
      </c>
      <c r="BE105" s="4" t="s">
        <v>250</v>
      </c>
      <c r="BF105" s="4" t="s">
        <v>241</v>
      </c>
      <c r="BJ105" s="4" t="s">
        <v>273</v>
      </c>
      <c r="BK105" s="5" t="s">
        <v>274</v>
      </c>
      <c r="BL105" s="4" t="s">
        <v>275</v>
      </c>
      <c r="BM105" s="4" t="s">
        <v>275</v>
      </c>
      <c r="BN105" s="4" t="s">
        <v>241</v>
      </c>
      <c r="BO105" s="6">
        <f>0</f>
        <v>0</v>
      </c>
      <c r="BP105" s="6">
        <f>-2987499</f>
        <v>-2987499</v>
      </c>
      <c r="BQ105" s="4" t="s">
        <v>255</v>
      </c>
      <c r="BR105" s="4" t="s">
        <v>256</v>
      </c>
      <c r="BS105" s="4" t="s">
        <v>241</v>
      </c>
      <c r="BT105" s="4" t="s">
        <v>241</v>
      </c>
      <c r="BU105" s="4" t="s">
        <v>241</v>
      </c>
      <c r="BV105" s="4" t="s">
        <v>241</v>
      </c>
      <c r="CE105" s="4" t="s">
        <v>256</v>
      </c>
      <c r="CF105" s="4" t="s">
        <v>241</v>
      </c>
      <c r="CG105" s="4" t="s">
        <v>241</v>
      </c>
      <c r="CK105" s="4" t="s">
        <v>276</v>
      </c>
      <c r="CL105" s="4" t="s">
        <v>258</v>
      </c>
      <c r="CM105" s="4" t="s">
        <v>241</v>
      </c>
      <c r="CO105" s="4" t="s">
        <v>353</v>
      </c>
      <c r="CP105" s="5" t="s">
        <v>260</v>
      </c>
      <c r="CQ105" s="4" t="s">
        <v>261</v>
      </c>
      <c r="CR105" s="4" t="s">
        <v>262</v>
      </c>
      <c r="CS105" s="4" t="s">
        <v>278</v>
      </c>
      <c r="CT105" s="4" t="s">
        <v>241</v>
      </c>
      <c r="CU105" s="4">
        <v>0.02</v>
      </c>
      <c r="CV105" s="4" t="s">
        <v>298</v>
      </c>
      <c r="CW105" s="4" t="s">
        <v>705</v>
      </c>
      <c r="CX105" s="4" t="s">
        <v>279</v>
      </c>
      <c r="CY105" s="6">
        <f>0</f>
        <v>0</v>
      </c>
      <c r="CZ105" s="6">
        <f>149374960</f>
        <v>149374960</v>
      </c>
      <c r="DA105" s="6">
        <f>65724988</f>
        <v>65724988</v>
      </c>
      <c r="DC105" s="4" t="s">
        <v>241</v>
      </c>
      <c r="DD105" s="4" t="s">
        <v>241</v>
      </c>
      <c r="DF105" s="4" t="s">
        <v>241</v>
      </c>
      <c r="DG105" s="6">
        <f>0</f>
        <v>0</v>
      </c>
      <c r="DI105" s="4" t="s">
        <v>241</v>
      </c>
      <c r="DJ105" s="4" t="s">
        <v>241</v>
      </c>
      <c r="DK105" s="4" t="s">
        <v>241</v>
      </c>
      <c r="DL105" s="4" t="s">
        <v>241</v>
      </c>
      <c r="DM105" s="4" t="s">
        <v>268</v>
      </c>
      <c r="DN105" s="4" t="s">
        <v>269</v>
      </c>
      <c r="DO105" s="6">
        <f>537.32</f>
        <v>537.32000000000005</v>
      </c>
      <c r="DP105" s="4" t="s">
        <v>241</v>
      </c>
      <c r="DQ105" s="4" t="s">
        <v>241</v>
      </c>
      <c r="DR105" s="4" t="s">
        <v>241</v>
      </c>
      <c r="DS105" s="4" t="s">
        <v>241</v>
      </c>
      <c r="DV105" s="4" t="s">
        <v>629</v>
      </c>
      <c r="DW105" s="4" t="s">
        <v>289</v>
      </c>
      <c r="GN105" s="4" t="s">
        <v>742</v>
      </c>
      <c r="HO105" s="4" t="s">
        <v>310</v>
      </c>
      <c r="HR105" s="4" t="s">
        <v>269</v>
      </c>
      <c r="HS105" s="4" t="s">
        <v>269</v>
      </c>
      <c r="HT105" s="4" t="s">
        <v>241</v>
      </c>
      <c r="HU105" s="4" t="s">
        <v>241</v>
      </c>
      <c r="HV105" s="4" t="s">
        <v>241</v>
      </c>
      <c r="HW105" s="4" t="s">
        <v>241</v>
      </c>
      <c r="HX105" s="4" t="s">
        <v>241</v>
      </c>
      <c r="HY105" s="4" t="s">
        <v>241</v>
      </c>
      <c r="HZ105" s="4" t="s">
        <v>241</v>
      </c>
      <c r="IA105" s="4" t="s">
        <v>241</v>
      </c>
      <c r="IB105" s="4" t="s">
        <v>241</v>
      </c>
      <c r="IC105" s="4" t="s">
        <v>241</v>
      </c>
      <c r="ID105" s="4" t="s">
        <v>241</v>
      </c>
      <c r="IE105" s="4" t="s">
        <v>241</v>
      </c>
      <c r="IF105" s="4" t="s">
        <v>241</v>
      </c>
    </row>
    <row r="106" spans="1:240" x14ac:dyDescent="0.4">
      <c r="A106" s="4">
        <v>2</v>
      </c>
      <c r="B106" s="4" t="s">
        <v>239</v>
      </c>
      <c r="C106" s="4">
        <v>1202</v>
      </c>
      <c r="D106" s="4">
        <v>1</v>
      </c>
      <c r="E106" s="4">
        <v>1</v>
      </c>
      <c r="F106" s="4" t="s">
        <v>240</v>
      </c>
      <c r="G106" s="4" t="s">
        <v>241</v>
      </c>
      <c r="H106" s="4" t="s">
        <v>241</v>
      </c>
      <c r="I106" s="4" t="s">
        <v>627</v>
      </c>
      <c r="J106" s="4" t="s">
        <v>294</v>
      </c>
      <c r="K106" s="4" t="s">
        <v>249</v>
      </c>
      <c r="L106" s="4" t="s">
        <v>626</v>
      </c>
      <c r="M106" s="5" t="s">
        <v>628</v>
      </c>
      <c r="N106" s="4" t="s">
        <v>626</v>
      </c>
      <c r="O106" s="6">
        <f>58.32</f>
        <v>58.32</v>
      </c>
      <c r="P106" s="4" t="s">
        <v>267</v>
      </c>
      <c r="Q106" s="6">
        <f>1</f>
        <v>1</v>
      </c>
      <c r="R106" s="6">
        <f>3499200</f>
        <v>3499200</v>
      </c>
      <c r="S106" s="5" t="s">
        <v>243</v>
      </c>
      <c r="T106" s="4" t="s">
        <v>322</v>
      </c>
      <c r="U106" s="4" t="s">
        <v>266</v>
      </c>
      <c r="W106" s="6">
        <f>3499199</f>
        <v>3499199</v>
      </c>
      <c r="X106" s="4" t="s">
        <v>292</v>
      </c>
      <c r="Y106" s="4" t="s">
        <v>242</v>
      </c>
      <c r="Z106" s="4" t="s">
        <v>306</v>
      </c>
      <c r="AA106" s="4" t="s">
        <v>241</v>
      </c>
      <c r="AD106" s="4" t="s">
        <v>241</v>
      </c>
      <c r="AF106" s="5" t="s">
        <v>241</v>
      </c>
      <c r="AI106" s="5" t="s">
        <v>244</v>
      </c>
      <c r="AJ106" s="4" t="s">
        <v>245</v>
      </c>
      <c r="AK106" s="4" t="s">
        <v>246</v>
      </c>
      <c r="BA106" s="4" t="s">
        <v>247</v>
      </c>
      <c r="BB106" s="4" t="s">
        <v>241</v>
      </c>
      <c r="BC106" s="4" t="s">
        <v>248</v>
      </c>
      <c r="BD106" s="4" t="s">
        <v>241</v>
      </c>
      <c r="BE106" s="4" t="s">
        <v>250</v>
      </c>
      <c r="BF106" s="4" t="s">
        <v>241</v>
      </c>
      <c r="BJ106" s="4" t="s">
        <v>433</v>
      </c>
      <c r="BK106" s="5" t="s">
        <v>434</v>
      </c>
      <c r="BL106" s="4" t="s">
        <v>253</v>
      </c>
      <c r="BM106" s="4" t="s">
        <v>254</v>
      </c>
      <c r="BN106" s="4" t="s">
        <v>241</v>
      </c>
      <c r="BO106" s="6">
        <f>0</f>
        <v>0</v>
      </c>
      <c r="BP106" s="6">
        <f>0</f>
        <v>0</v>
      </c>
      <c r="BQ106" s="4" t="s">
        <v>255</v>
      </c>
      <c r="BR106" s="4" t="s">
        <v>256</v>
      </c>
      <c r="CF106" s="4" t="s">
        <v>241</v>
      </c>
      <c r="CG106" s="4" t="s">
        <v>241</v>
      </c>
      <c r="CK106" s="4" t="s">
        <v>257</v>
      </c>
      <c r="CL106" s="4" t="s">
        <v>258</v>
      </c>
      <c r="CM106" s="4" t="s">
        <v>241</v>
      </c>
      <c r="CO106" s="4" t="s">
        <v>259</v>
      </c>
      <c r="CP106" s="5" t="s">
        <v>260</v>
      </c>
      <c r="CQ106" s="4" t="s">
        <v>261</v>
      </c>
      <c r="CR106" s="4" t="s">
        <v>262</v>
      </c>
      <c r="CS106" s="4" t="s">
        <v>241</v>
      </c>
      <c r="CT106" s="4" t="s">
        <v>241</v>
      </c>
      <c r="CU106" s="4">
        <v>0</v>
      </c>
      <c r="CV106" s="4" t="s">
        <v>298</v>
      </c>
      <c r="CW106" s="4" t="s">
        <v>263</v>
      </c>
      <c r="CX106" s="4" t="s">
        <v>321</v>
      </c>
      <c r="CZ106" s="6">
        <f>3499200</f>
        <v>3499200</v>
      </c>
      <c r="DA106" s="6">
        <f>0</f>
        <v>0</v>
      </c>
      <c r="DC106" s="4" t="s">
        <v>241</v>
      </c>
      <c r="DD106" s="4" t="s">
        <v>241</v>
      </c>
      <c r="DF106" s="4" t="s">
        <v>241</v>
      </c>
      <c r="DI106" s="4" t="s">
        <v>241</v>
      </c>
      <c r="DJ106" s="4" t="s">
        <v>241</v>
      </c>
      <c r="DK106" s="4" t="s">
        <v>241</v>
      </c>
      <c r="DL106" s="4" t="s">
        <v>241</v>
      </c>
      <c r="DM106" s="4" t="s">
        <v>268</v>
      </c>
      <c r="DN106" s="4" t="s">
        <v>269</v>
      </c>
      <c r="DO106" s="6">
        <f>58.32</f>
        <v>58.32</v>
      </c>
      <c r="DP106" s="4" t="s">
        <v>241</v>
      </c>
      <c r="DQ106" s="4" t="s">
        <v>241</v>
      </c>
      <c r="DR106" s="4" t="s">
        <v>241</v>
      </c>
      <c r="DS106" s="4" t="s">
        <v>241</v>
      </c>
      <c r="DV106" s="4" t="s">
        <v>629</v>
      </c>
      <c r="DW106" s="4" t="s">
        <v>281</v>
      </c>
      <c r="HO106" s="4" t="s">
        <v>268</v>
      </c>
      <c r="HR106" s="4" t="s">
        <v>269</v>
      </c>
      <c r="HS106" s="4" t="s">
        <v>269</v>
      </c>
    </row>
    <row r="107" spans="1:240" x14ac:dyDescent="0.4">
      <c r="A107" s="4">
        <v>2</v>
      </c>
      <c r="B107" s="4" t="s">
        <v>239</v>
      </c>
      <c r="C107" s="4">
        <v>1205</v>
      </c>
      <c r="D107" s="4">
        <v>1</v>
      </c>
      <c r="E107" s="4">
        <v>1</v>
      </c>
      <c r="F107" s="4" t="s">
        <v>240</v>
      </c>
      <c r="G107" s="4" t="s">
        <v>241</v>
      </c>
      <c r="H107" s="4" t="s">
        <v>241</v>
      </c>
      <c r="I107" s="4" t="s">
        <v>534</v>
      </c>
      <c r="J107" s="4" t="s">
        <v>294</v>
      </c>
      <c r="K107" s="4" t="s">
        <v>249</v>
      </c>
      <c r="L107" s="4" t="s">
        <v>678</v>
      </c>
      <c r="M107" s="5" t="s">
        <v>536</v>
      </c>
      <c r="N107" s="4" t="s">
        <v>680</v>
      </c>
      <c r="O107" s="6">
        <f>72.87</f>
        <v>72.87</v>
      </c>
      <c r="P107" s="4" t="s">
        <v>267</v>
      </c>
      <c r="Q107" s="6">
        <f>1</f>
        <v>1</v>
      </c>
      <c r="R107" s="6">
        <f>12023550</f>
        <v>12023550</v>
      </c>
      <c r="S107" s="5" t="s">
        <v>535</v>
      </c>
      <c r="T107" s="4" t="s">
        <v>302</v>
      </c>
      <c r="U107" s="4" t="s">
        <v>538</v>
      </c>
      <c r="W107" s="6">
        <f>12023549</f>
        <v>12023549</v>
      </c>
      <c r="X107" s="4" t="s">
        <v>292</v>
      </c>
      <c r="Y107" s="4" t="s">
        <v>242</v>
      </c>
      <c r="Z107" s="4" t="s">
        <v>306</v>
      </c>
      <c r="AA107" s="4" t="s">
        <v>241</v>
      </c>
      <c r="AD107" s="4" t="s">
        <v>241</v>
      </c>
      <c r="AF107" s="5" t="s">
        <v>241</v>
      </c>
      <c r="AI107" s="5" t="s">
        <v>244</v>
      </c>
      <c r="AJ107" s="4" t="s">
        <v>245</v>
      </c>
      <c r="AK107" s="4" t="s">
        <v>246</v>
      </c>
      <c r="BA107" s="4" t="s">
        <v>247</v>
      </c>
      <c r="BB107" s="4" t="s">
        <v>241</v>
      </c>
      <c r="BC107" s="4" t="s">
        <v>248</v>
      </c>
      <c r="BD107" s="4" t="s">
        <v>241</v>
      </c>
      <c r="BE107" s="4" t="s">
        <v>250</v>
      </c>
      <c r="BF107" s="4" t="s">
        <v>241</v>
      </c>
      <c r="BJ107" s="4" t="s">
        <v>427</v>
      </c>
      <c r="BK107" s="5" t="s">
        <v>428</v>
      </c>
      <c r="BL107" s="4" t="s">
        <v>253</v>
      </c>
      <c r="BM107" s="4" t="s">
        <v>537</v>
      </c>
      <c r="BN107" s="4" t="s">
        <v>241</v>
      </c>
      <c r="BO107" s="6">
        <f>0</f>
        <v>0</v>
      </c>
      <c r="BP107" s="6">
        <f>0</f>
        <v>0</v>
      </c>
      <c r="BQ107" s="4" t="s">
        <v>255</v>
      </c>
      <c r="BR107" s="4" t="s">
        <v>256</v>
      </c>
      <c r="CF107" s="4" t="s">
        <v>241</v>
      </c>
      <c r="CG107" s="4" t="s">
        <v>241</v>
      </c>
      <c r="CK107" s="4" t="s">
        <v>276</v>
      </c>
      <c r="CL107" s="4" t="s">
        <v>258</v>
      </c>
      <c r="CM107" s="4" t="s">
        <v>241</v>
      </c>
      <c r="CO107" s="4" t="s">
        <v>429</v>
      </c>
      <c r="CP107" s="5" t="s">
        <v>260</v>
      </c>
      <c r="CQ107" s="4" t="s">
        <v>261</v>
      </c>
      <c r="CR107" s="4" t="s">
        <v>262</v>
      </c>
      <c r="CS107" s="4" t="s">
        <v>241</v>
      </c>
      <c r="CT107" s="4" t="s">
        <v>241</v>
      </c>
      <c r="CU107" s="4">
        <v>0</v>
      </c>
      <c r="CV107" s="4" t="s">
        <v>298</v>
      </c>
      <c r="CW107" s="4" t="s">
        <v>679</v>
      </c>
      <c r="CX107" s="4" t="s">
        <v>321</v>
      </c>
      <c r="CZ107" s="6">
        <f>12023550</f>
        <v>12023550</v>
      </c>
      <c r="DA107" s="6">
        <f>0</f>
        <v>0</v>
      </c>
      <c r="DC107" s="4" t="s">
        <v>241</v>
      </c>
      <c r="DD107" s="4" t="s">
        <v>241</v>
      </c>
      <c r="DF107" s="4" t="s">
        <v>241</v>
      </c>
      <c r="DI107" s="4" t="s">
        <v>241</v>
      </c>
      <c r="DJ107" s="4" t="s">
        <v>241</v>
      </c>
      <c r="DK107" s="4" t="s">
        <v>241</v>
      </c>
      <c r="DL107" s="4" t="s">
        <v>241</v>
      </c>
      <c r="DM107" s="4" t="s">
        <v>268</v>
      </c>
      <c r="DN107" s="4" t="s">
        <v>269</v>
      </c>
      <c r="DO107" s="6">
        <f>72.87</f>
        <v>72.87</v>
      </c>
      <c r="DP107" s="4" t="s">
        <v>241</v>
      </c>
      <c r="DQ107" s="4" t="s">
        <v>241</v>
      </c>
      <c r="DR107" s="4" t="s">
        <v>241</v>
      </c>
      <c r="DS107" s="4" t="s">
        <v>241</v>
      </c>
      <c r="DV107" s="4" t="s">
        <v>539</v>
      </c>
      <c r="DW107" s="4" t="s">
        <v>268</v>
      </c>
      <c r="HO107" s="4" t="s">
        <v>281</v>
      </c>
      <c r="HR107" s="4" t="s">
        <v>269</v>
      </c>
      <c r="HS107" s="4" t="s">
        <v>269</v>
      </c>
    </row>
    <row r="108" spans="1:240" x14ac:dyDescent="0.4">
      <c r="A108" s="4">
        <v>2</v>
      </c>
      <c r="B108" s="4" t="s">
        <v>239</v>
      </c>
      <c r="C108" s="4">
        <v>1206</v>
      </c>
      <c r="D108" s="4">
        <v>1</v>
      </c>
      <c r="E108" s="4">
        <v>1</v>
      </c>
      <c r="F108" s="4" t="s">
        <v>240</v>
      </c>
      <c r="G108" s="4" t="s">
        <v>241</v>
      </c>
      <c r="H108" s="4" t="s">
        <v>241</v>
      </c>
      <c r="I108" s="4" t="s">
        <v>534</v>
      </c>
      <c r="J108" s="4" t="s">
        <v>294</v>
      </c>
      <c r="K108" s="4" t="s">
        <v>249</v>
      </c>
      <c r="L108" s="4" t="s">
        <v>308</v>
      </c>
      <c r="M108" s="5" t="s">
        <v>536</v>
      </c>
      <c r="N108" s="4" t="s">
        <v>785</v>
      </c>
      <c r="O108" s="6">
        <f>19.87</f>
        <v>19.87</v>
      </c>
      <c r="P108" s="4" t="s">
        <v>267</v>
      </c>
      <c r="Q108" s="6">
        <f>1</f>
        <v>1</v>
      </c>
      <c r="R108" s="6">
        <f>2920890</f>
        <v>2920890</v>
      </c>
      <c r="S108" s="5" t="s">
        <v>535</v>
      </c>
      <c r="T108" s="4" t="s">
        <v>322</v>
      </c>
      <c r="U108" s="4" t="s">
        <v>538</v>
      </c>
      <c r="W108" s="6">
        <f>2920889</f>
        <v>2920889</v>
      </c>
      <c r="X108" s="4" t="s">
        <v>292</v>
      </c>
      <c r="Y108" s="4" t="s">
        <v>242</v>
      </c>
      <c r="Z108" s="4" t="s">
        <v>306</v>
      </c>
      <c r="AA108" s="4" t="s">
        <v>241</v>
      </c>
      <c r="AD108" s="4" t="s">
        <v>241</v>
      </c>
      <c r="AF108" s="5" t="s">
        <v>241</v>
      </c>
      <c r="AI108" s="5" t="s">
        <v>244</v>
      </c>
      <c r="AJ108" s="4" t="s">
        <v>245</v>
      </c>
      <c r="AK108" s="4" t="s">
        <v>246</v>
      </c>
      <c r="BA108" s="4" t="s">
        <v>247</v>
      </c>
      <c r="BB108" s="4" t="s">
        <v>241</v>
      </c>
      <c r="BC108" s="4" t="s">
        <v>248</v>
      </c>
      <c r="BD108" s="4" t="s">
        <v>241</v>
      </c>
      <c r="BE108" s="4" t="s">
        <v>250</v>
      </c>
      <c r="BF108" s="4" t="s">
        <v>241</v>
      </c>
      <c r="BJ108" s="4" t="s">
        <v>399</v>
      </c>
      <c r="BK108" s="5" t="s">
        <v>244</v>
      </c>
      <c r="BL108" s="4" t="s">
        <v>253</v>
      </c>
      <c r="BM108" s="4" t="s">
        <v>537</v>
      </c>
      <c r="BN108" s="4" t="s">
        <v>241</v>
      </c>
      <c r="BO108" s="6">
        <f>0</f>
        <v>0</v>
      </c>
      <c r="BP108" s="6">
        <f>0</f>
        <v>0</v>
      </c>
      <c r="BQ108" s="4" t="s">
        <v>255</v>
      </c>
      <c r="BR108" s="4" t="s">
        <v>256</v>
      </c>
      <c r="CF108" s="4" t="s">
        <v>241</v>
      </c>
      <c r="CG108" s="4" t="s">
        <v>241</v>
      </c>
      <c r="CK108" s="4" t="s">
        <v>276</v>
      </c>
      <c r="CL108" s="4" t="s">
        <v>258</v>
      </c>
      <c r="CM108" s="4" t="s">
        <v>241</v>
      </c>
      <c r="CO108" s="4" t="s">
        <v>429</v>
      </c>
      <c r="CP108" s="5" t="s">
        <v>260</v>
      </c>
      <c r="CQ108" s="4" t="s">
        <v>261</v>
      </c>
      <c r="CR108" s="4" t="s">
        <v>262</v>
      </c>
      <c r="CS108" s="4" t="s">
        <v>241</v>
      </c>
      <c r="CT108" s="4" t="s">
        <v>241</v>
      </c>
      <c r="CU108" s="4">
        <v>0</v>
      </c>
      <c r="CV108" s="4" t="s">
        <v>298</v>
      </c>
      <c r="CW108" s="4" t="s">
        <v>299</v>
      </c>
      <c r="CX108" s="4" t="s">
        <v>321</v>
      </c>
      <c r="CZ108" s="6">
        <f>2920890</f>
        <v>2920890</v>
      </c>
      <c r="DA108" s="6">
        <f>0</f>
        <v>0</v>
      </c>
      <c r="DC108" s="4" t="s">
        <v>241</v>
      </c>
      <c r="DD108" s="4" t="s">
        <v>241</v>
      </c>
      <c r="DF108" s="4" t="s">
        <v>241</v>
      </c>
      <c r="DI108" s="4" t="s">
        <v>241</v>
      </c>
      <c r="DJ108" s="4" t="s">
        <v>241</v>
      </c>
      <c r="DK108" s="4" t="s">
        <v>241</v>
      </c>
      <c r="DL108" s="4" t="s">
        <v>241</v>
      </c>
      <c r="DM108" s="4" t="s">
        <v>268</v>
      </c>
      <c r="DN108" s="4" t="s">
        <v>269</v>
      </c>
      <c r="DO108" s="6">
        <f>19.87</f>
        <v>19.87</v>
      </c>
      <c r="DP108" s="4" t="s">
        <v>241</v>
      </c>
      <c r="DQ108" s="4" t="s">
        <v>241</v>
      </c>
      <c r="DR108" s="4" t="s">
        <v>241</v>
      </c>
      <c r="DS108" s="4" t="s">
        <v>241</v>
      </c>
      <c r="DV108" s="4" t="s">
        <v>539</v>
      </c>
      <c r="DW108" s="4" t="s">
        <v>289</v>
      </c>
      <c r="HO108" s="4" t="s">
        <v>281</v>
      </c>
      <c r="HR108" s="4" t="s">
        <v>269</v>
      </c>
      <c r="HS108" s="4" t="s">
        <v>269</v>
      </c>
    </row>
    <row r="109" spans="1:240" x14ac:dyDescent="0.4">
      <c r="A109" s="4">
        <v>2</v>
      </c>
      <c r="B109" s="4" t="s">
        <v>239</v>
      </c>
      <c r="C109" s="4">
        <v>1207</v>
      </c>
      <c r="D109" s="4">
        <v>1</v>
      </c>
      <c r="E109" s="4">
        <v>1</v>
      </c>
      <c r="F109" s="4" t="s">
        <v>240</v>
      </c>
      <c r="G109" s="4" t="s">
        <v>241</v>
      </c>
      <c r="H109" s="4" t="s">
        <v>241</v>
      </c>
      <c r="I109" s="4" t="s">
        <v>534</v>
      </c>
      <c r="J109" s="4" t="s">
        <v>294</v>
      </c>
      <c r="K109" s="4" t="s">
        <v>249</v>
      </c>
      <c r="L109" s="4" t="s">
        <v>308</v>
      </c>
      <c r="M109" s="5" t="s">
        <v>536</v>
      </c>
      <c r="N109" s="4" t="s">
        <v>308</v>
      </c>
      <c r="O109" s="6">
        <f>20.9</f>
        <v>20.9</v>
      </c>
      <c r="P109" s="4" t="s">
        <v>267</v>
      </c>
      <c r="Q109" s="6">
        <f>1</f>
        <v>1</v>
      </c>
      <c r="R109" s="6">
        <f>3072300</f>
        <v>3072300</v>
      </c>
      <c r="S109" s="5" t="s">
        <v>535</v>
      </c>
      <c r="T109" s="4" t="s">
        <v>322</v>
      </c>
      <c r="U109" s="4" t="s">
        <v>538</v>
      </c>
      <c r="W109" s="6">
        <f>3072299</f>
        <v>3072299</v>
      </c>
      <c r="X109" s="4" t="s">
        <v>292</v>
      </c>
      <c r="Y109" s="4" t="s">
        <v>242</v>
      </c>
      <c r="Z109" s="4" t="s">
        <v>306</v>
      </c>
      <c r="AA109" s="4" t="s">
        <v>241</v>
      </c>
      <c r="AD109" s="4" t="s">
        <v>241</v>
      </c>
      <c r="AF109" s="5" t="s">
        <v>241</v>
      </c>
      <c r="AI109" s="5" t="s">
        <v>244</v>
      </c>
      <c r="AJ109" s="4" t="s">
        <v>245</v>
      </c>
      <c r="AK109" s="4" t="s">
        <v>246</v>
      </c>
      <c r="BA109" s="4" t="s">
        <v>247</v>
      </c>
      <c r="BB109" s="4" t="s">
        <v>241</v>
      </c>
      <c r="BC109" s="4" t="s">
        <v>248</v>
      </c>
      <c r="BD109" s="4" t="s">
        <v>241</v>
      </c>
      <c r="BE109" s="4" t="s">
        <v>250</v>
      </c>
      <c r="BF109" s="4" t="s">
        <v>241</v>
      </c>
      <c r="BJ109" s="4" t="s">
        <v>427</v>
      </c>
      <c r="BK109" s="5" t="s">
        <v>428</v>
      </c>
      <c r="BL109" s="4" t="s">
        <v>253</v>
      </c>
      <c r="BM109" s="4" t="s">
        <v>537</v>
      </c>
      <c r="BN109" s="4" t="s">
        <v>241</v>
      </c>
      <c r="BO109" s="6">
        <f>0</f>
        <v>0</v>
      </c>
      <c r="BP109" s="6">
        <f>0</f>
        <v>0</v>
      </c>
      <c r="BQ109" s="4" t="s">
        <v>255</v>
      </c>
      <c r="BR109" s="4" t="s">
        <v>256</v>
      </c>
      <c r="CF109" s="4" t="s">
        <v>241</v>
      </c>
      <c r="CG109" s="4" t="s">
        <v>241</v>
      </c>
      <c r="CK109" s="4" t="s">
        <v>276</v>
      </c>
      <c r="CL109" s="4" t="s">
        <v>258</v>
      </c>
      <c r="CM109" s="4" t="s">
        <v>241</v>
      </c>
      <c r="CO109" s="4" t="s">
        <v>429</v>
      </c>
      <c r="CP109" s="5" t="s">
        <v>260</v>
      </c>
      <c r="CQ109" s="4" t="s">
        <v>261</v>
      </c>
      <c r="CR109" s="4" t="s">
        <v>262</v>
      </c>
      <c r="CS109" s="4" t="s">
        <v>241</v>
      </c>
      <c r="CT109" s="4" t="s">
        <v>241</v>
      </c>
      <c r="CU109" s="4">
        <v>0</v>
      </c>
      <c r="CV109" s="4" t="s">
        <v>298</v>
      </c>
      <c r="CW109" s="4" t="s">
        <v>299</v>
      </c>
      <c r="CX109" s="4" t="s">
        <v>321</v>
      </c>
      <c r="CZ109" s="6">
        <f>3072300</f>
        <v>3072300</v>
      </c>
      <c r="DA109" s="6">
        <f>0</f>
        <v>0</v>
      </c>
      <c r="DC109" s="4" t="s">
        <v>241</v>
      </c>
      <c r="DD109" s="4" t="s">
        <v>241</v>
      </c>
      <c r="DF109" s="4" t="s">
        <v>241</v>
      </c>
      <c r="DI109" s="4" t="s">
        <v>241</v>
      </c>
      <c r="DJ109" s="4" t="s">
        <v>241</v>
      </c>
      <c r="DK109" s="4" t="s">
        <v>241</v>
      </c>
      <c r="DL109" s="4" t="s">
        <v>241</v>
      </c>
      <c r="DM109" s="4" t="s">
        <v>268</v>
      </c>
      <c r="DN109" s="4" t="s">
        <v>269</v>
      </c>
      <c r="DO109" s="6">
        <f>20.9</f>
        <v>20.9</v>
      </c>
      <c r="DP109" s="4" t="s">
        <v>241</v>
      </c>
      <c r="DQ109" s="4" t="s">
        <v>241</v>
      </c>
      <c r="DR109" s="4" t="s">
        <v>241</v>
      </c>
      <c r="DS109" s="4" t="s">
        <v>241</v>
      </c>
      <c r="DV109" s="4" t="s">
        <v>539</v>
      </c>
      <c r="DW109" s="4" t="s">
        <v>281</v>
      </c>
      <c r="HO109" s="4" t="s">
        <v>281</v>
      </c>
      <c r="HR109" s="4" t="s">
        <v>269</v>
      </c>
      <c r="HS109" s="4" t="s">
        <v>269</v>
      </c>
    </row>
    <row r="110" spans="1:240" x14ac:dyDescent="0.4">
      <c r="A110" s="4">
        <v>2</v>
      </c>
      <c r="B110" s="4" t="s">
        <v>239</v>
      </c>
      <c r="C110" s="4">
        <v>1208</v>
      </c>
      <c r="D110" s="4">
        <v>1</v>
      </c>
      <c r="E110" s="4">
        <v>1</v>
      </c>
      <c r="F110" s="4" t="s">
        <v>240</v>
      </c>
      <c r="G110" s="4" t="s">
        <v>241</v>
      </c>
      <c r="H110" s="4" t="s">
        <v>241</v>
      </c>
      <c r="I110" s="4" t="s">
        <v>534</v>
      </c>
      <c r="J110" s="4" t="s">
        <v>294</v>
      </c>
      <c r="K110" s="4" t="s">
        <v>249</v>
      </c>
      <c r="L110" s="4" t="s">
        <v>308</v>
      </c>
      <c r="M110" s="5" t="s">
        <v>536</v>
      </c>
      <c r="N110" s="4" t="s">
        <v>312</v>
      </c>
      <c r="O110" s="6">
        <f>16.7</f>
        <v>16.7</v>
      </c>
      <c r="P110" s="4" t="s">
        <v>267</v>
      </c>
      <c r="Q110" s="6">
        <f>1</f>
        <v>1</v>
      </c>
      <c r="R110" s="6">
        <f>6546400</f>
        <v>6546400</v>
      </c>
      <c r="S110" s="5" t="s">
        <v>535</v>
      </c>
      <c r="T110" s="4" t="s">
        <v>265</v>
      </c>
      <c r="U110" s="4" t="s">
        <v>538</v>
      </c>
      <c r="W110" s="6">
        <f>6546399</f>
        <v>6546399</v>
      </c>
      <c r="X110" s="4" t="s">
        <v>292</v>
      </c>
      <c r="Y110" s="4" t="s">
        <v>242</v>
      </c>
      <c r="Z110" s="4" t="s">
        <v>306</v>
      </c>
      <c r="AA110" s="4" t="s">
        <v>241</v>
      </c>
      <c r="AD110" s="4" t="s">
        <v>241</v>
      </c>
      <c r="AF110" s="5" t="s">
        <v>241</v>
      </c>
      <c r="AI110" s="5" t="s">
        <v>244</v>
      </c>
      <c r="AJ110" s="4" t="s">
        <v>245</v>
      </c>
      <c r="AK110" s="4" t="s">
        <v>246</v>
      </c>
      <c r="BA110" s="4" t="s">
        <v>247</v>
      </c>
      <c r="BB110" s="4" t="s">
        <v>241</v>
      </c>
      <c r="BC110" s="4" t="s">
        <v>248</v>
      </c>
      <c r="BD110" s="4" t="s">
        <v>241</v>
      </c>
      <c r="BE110" s="4" t="s">
        <v>250</v>
      </c>
      <c r="BF110" s="4" t="s">
        <v>241</v>
      </c>
      <c r="BJ110" s="4" t="s">
        <v>433</v>
      </c>
      <c r="BK110" s="5" t="s">
        <v>434</v>
      </c>
      <c r="BL110" s="4" t="s">
        <v>253</v>
      </c>
      <c r="BM110" s="4" t="s">
        <v>537</v>
      </c>
      <c r="BN110" s="4" t="s">
        <v>241</v>
      </c>
      <c r="BO110" s="6">
        <f>0</f>
        <v>0</v>
      </c>
      <c r="BP110" s="6">
        <f>0</f>
        <v>0</v>
      </c>
      <c r="BQ110" s="4" t="s">
        <v>255</v>
      </c>
      <c r="BR110" s="4" t="s">
        <v>256</v>
      </c>
      <c r="CF110" s="4" t="s">
        <v>241</v>
      </c>
      <c r="CG110" s="4" t="s">
        <v>241</v>
      </c>
      <c r="CK110" s="4" t="s">
        <v>276</v>
      </c>
      <c r="CL110" s="4" t="s">
        <v>258</v>
      </c>
      <c r="CM110" s="4" t="s">
        <v>241</v>
      </c>
      <c r="CO110" s="4" t="s">
        <v>429</v>
      </c>
      <c r="CP110" s="5" t="s">
        <v>260</v>
      </c>
      <c r="CQ110" s="4" t="s">
        <v>261</v>
      </c>
      <c r="CR110" s="4" t="s">
        <v>262</v>
      </c>
      <c r="CS110" s="4" t="s">
        <v>241</v>
      </c>
      <c r="CT110" s="4" t="s">
        <v>241</v>
      </c>
      <c r="CU110" s="4">
        <v>0</v>
      </c>
      <c r="CV110" s="4" t="s">
        <v>298</v>
      </c>
      <c r="CW110" s="4" t="s">
        <v>299</v>
      </c>
      <c r="CX110" s="4" t="s">
        <v>264</v>
      </c>
      <c r="CZ110" s="6">
        <f>6546400</f>
        <v>6546400</v>
      </c>
      <c r="DA110" s="6">
        <f>0</f>
        <v>0</v>
      </c>
      <c r="DC110" s="4" t="s">
        <v>241</v>
      </c>
      <c r="DD110" s="4" t="s">
        <v>241</v>
      </c>
      <c r="DF110" s="4" t="s">
        <v>241</v>
      </c>
      <c r="DI110" s="4" t="s">
        <v>241</v>
      </c>
      <c r="DJ110" s="4" t="s">
        <v>241</v>
      </c>
      <c r="DK110" s="4" t="s">
        <v>241</v>
      </c>
      <c r="DL110" s="4" t="s">
        <v>241</v>
      </c>
      <c r="DM110" s="4" t="s">
        <v>268</v>
      </c>
      <c r="DN110" s="4" t="s">
        <v>269</v>
      </c>
      <c r="DO110" s="6">
        <f>16.7</f>
        <v>16.7</v>
      </c>
      <c r="DP110" s="4" t="s">
        <v>241</v>
      </c>
      <c r="DQ110" s="4" t="s">
        <v>241</v>
      </c>
      <c r="DR110" s="4" t="s">
        <v>241</v>
      </c>
      <c r="DS110" s="4" t="s">
        <v>241</v>
      </c>
      <c r="DV110" s="4" t="s">
        <v>539</v>
      </c>
      <c r="DW110" s="4" t="s">
        <v>304</v>
      </c>
      <c r="HO110" s="4" t="s">
        <v>282</v>
      </c>
      <c r="HR110" s="4" t="s">
        <v>269</v>
      </c>
      <c r="HS110" s="4" t="s">
        <v>269</v>
      </c>
    </row>
    <row r="111" spans="1:240" x14ac:dyDescent="0.4">
      <c r="A111" s="4">
        <v>2</v>
      </c>
      <c r="B111" s="4" t="s">
        <v>239</v>
      </c>
      <c r="C111" s="4">
        <v>1209</v>
      </c>
      <c r="D111" s="4">
        <v>1</v>
      </c>
      <c r="E111" s="4">
        <v>1</v>
      </c>
      <c r="F111" s="4" t="s">
        <v>240</v>
      </c>
      <c r="G111" s="4" t="s">
        <v>241</v>
      </c>
      <c r="H111" s="4" t="s">
        <v>241</v>
      </c>
      <c r="I111" s="4" t="s">
        <v>534</v>
      </c>
      <c r="J111" s="4" t="s">
        <v>294</v>
      </c>
      <c r="K111" s="4" t="s">
        <v>249</v>
      </c>
      <c r="L111" s="4" t="s">
        <v>308</v>
      </c>
      <c r="M111" s="5" t="s">
        <v>536</v>
      </c>
      <c r="N111" s="4" t="s">
        <v>308</v>
      </c>
      <c r="O111" s="6">
        <f>27.2</f>
        <v>27.2</v>
      </c>
      <c r="P111" s="4" t="s">
        <v>267</v>
      </c>
      <c r="Q111" s="6">
        <f>1</f>
        <v>1</v>
      </c>
      <c r="R111" s="6">
        <f>3998400</f>
        <v>3998400</v>
      </c>
      <c r="S111" s="5" t="s">
        <v>535</v>
      </c>
      <c r="T111" s="4" t="s">
        <v>265</v>
      </c>
      <c r="U111" s="4" t="s">
        <v>538</v>
      </c>
      <c r="W111" s="6">
        <f>3998399</f>
        <v>3998399</v>
      </c>
      <c r="X111" s="4" t="s">
        <v>292</v>
      </c>
      <c r="Y111" s="4" t="s">
        <v>242</v>
      </c>
      <c r="Z111" s="4" t="s">
        <v>306</v>
      </c>
      <c r="AA111" s="4" t="s">
        <v>241</v>
      </c>
      <c r="AD111" s="4" t="s">
        <v>241</v>
      </c>
      <c r="AF111" s="5" t="s">
        <v>241</v>
      </c>
      <c r="AI111" s="5" t="s">
        <v>540</v>
      </c>
      <c r="AJ111" s="4" t="s">
        <v>245</v>
      </c>
      <c r="AK111" s="4" t="s">
        <v>246</v>
      </c>
      <c r="BA111" s="4" t="s">
        <v>247</v>
      </c>
      <c r="BB111" s="4" t="s">
        <v>241</v>
      </c>
      <c r="BC111" s="4" t="s">
        <v>248</v>
      </c>
      <c r="BD111" s="4" t="s">
        <v>241</v>
      </c>
      <c r="BE111" s="4" t="s">
        <v>250</v>
      </c>
      <c r="BF111" s="4" t="s">
        <v>241</v>
      </c>
      <c r="BJ111" s="4" t="s">
        <v>433</v>
      </c>
      <c r="BK111" s="5" t="s">
        <v>540</v>
      </c>
      <c r="BL111" s="4" t="s">
        <v>253</v>
      </c>
      <c r="BM111" s="4" t="s">
        <v>537</v>
      </c>
      <c r="BN111" s="4" t="s">
        <v>241</v>
      </c>
      <c r="BO111" s="6">
        <f>0</f>
        <v>0</v>
      </c>
      <c r="BP111" s="6">
        <f>0</f>
        <v>0</v>
      </c>
      <c r="BQ111" s="4" t="s">
        <v>255</v>
      </c>
      <c r="BR111" s="4" t="s">
        <v>256</v>
      </c>
      <c r="CF111" s="4" t="s">
        <v>241</v>
      </c>
      <c r="CG111" s="4" t="s">
        <v>241</v>
      </c>
      <c r="CK111" s="4" t="s">
        <v>276</v>
      </c>
      <c r="CL111" s="4" t="s">
        <v>258</v>
      </c>
      <c r="CM111" s="4" t="s">
        <v>241</v>
      </c>
      <c r="CO111" s="4" t="s">
        <v>429</v>
      </c>
      <c r="CP111" s="5" t="s">
        <v>260</v>
      </c>
      <c r="CQ111" s="4" t="s">
        <v>261</v>
      </c>
      <c r="CR111" s="4" t="s">
        <v>262</v>
      </c>
      <c r="CS111" s="4" t="s">
        <v>241</v>
      </c>
      <c r="CT111" s="4" t="s">
        <v>241</v>
      </c>
      <c r="CU111" s="4">
        <v>0</v>
      </c>
      <c r="CV111" s="4" t="s">
        <v>298</v>
      </c>
      <c r="CW111" s="4" t="s">
        <v>299</v>
      </c>
      <c r="CX111" s="4" t="s">
        <v>264</v>
      </c>
      <c r="CZ111" s="6">
        <f>3998400</f>
        <v>3998400</v>
      </c>
      <c r="DA111" s="6">
        <f>0</f>
        <v>0</v>
      </c>
      <c r="DC111" s="4" t="s">
        <v>241</v>
      </c>
      <c r="DD111" s="4" t="s">
        <v>241</v>
      </c>
      <c r="DF111" s="4" t="s">
        <v>241</v>
      </c>
      <c r="DI111" s="4" t="s">
        <v>241</v>
      </c>
      <c r="DJ111" s="4" t="s">
        <v>241</v>
      </c>
      <c r="DK111" s="4" t="s">
        <v>241</v>
      </c>
      <c r="DL111" s="4" t="s">
        <v>241</v>
      </c>
      <c r="DM111" s="4" t="s">
        <v>268</v>
      </c>
      <c r="DN111" s="4" t="s">
        <v>269</v>
      </c>
      <c r="DO111" s="6">
        <f>27.2</f>
        <v>27.2</v>
      </c>
      <c r="DP111" s="4" t="s">
        <v>241</v>
      </c>
      <c r="DQ111" s="4" t="s">
        <v>241</v>
      </c>
      <c r="DR111" s="4" t="s">
        <v>241</v>
      </c>
      <c r="DS111" s="4" t="s">
        <v>241</v>
      </c>
      <c r="DV111" s="4" t="s">
        <v>539</v>
      </c>
      <c r="DW111" s="4" t="s">
        <v>330</v>
      </c>
      <c r="HO111" s="4" t="s">
        <v>282</v>
      </c>
      <c r="HR111" s="4" t="s">
        <v>269</v>
      </c>
      <c r="HS111" s="4" t="s">
        <v>269</v>
      </c>
    </row>
    <row r="112" spans="1:240" x14ac:dyDescent="0.4">
      <c r="A112" s="4">
        <v>2</v>
      </c>
      <c r="B112" s="4" t="s">
        <v>239</v>
      </c>
      <c r="C112" s="4">
        <v>1210</v>
      </c>
      <c r="D112" s="4">
        <v>1</v>
      </c>
      <c r="E112" s="4">
        <v>1</v>
      </c>
      <c r="F112" s="4" t="s">
        <v>240</v>
      </c>
      <c r="G112" s="4" t="s">
        <v>241</v>
      </c>
      <c r="H112" s="4" t="s">
        <v>241</v>
      </c>
      <c r="I112" s="4" t="s">
        <v>534</v>
      </c>
      <c r="J112" s="4" t="s">
        <v>294</v>
      </c>
      <c r="K112" s="4" t="s">
        <v>249</v>
      </c>
      <c r="L112" s="4" t="s">
        <v>621</v>
      </c>
      <c r="M112" s="5" t="s">
        <v>536</v>
      </c>
      <c r="N112" s="4" t="s">
        <v>666</v>
      </c>
      <c r="O112" s="6">
        <f>49.69</f>
        <v>49.69</v>
      </c>
      <c r="P112" s="4" t="s">
        <v>267</v>
      </c>
      <c r="Q112" s="6">
        <f>1</f>
        <v>1</v>
      </c>
      <c r="R112" s="6">
        <f>4621170</f>
        <v>4621170</v>
      </c>
      <c r="S112" s="5" t="s">
        <v>535</v>
      </c>
      <c r="T112" s="4" t="s">
        <v>265</v>
      </c>
      <c r="U112" s="4" t="s">
        <v>538</v>
      </c>
      <c r="W112" s="6">
        <f>4621169</f>
        <v>4621169</v>
      </c>
      <c r="X112" s="4" t="s">
        <v>292</v>
      </c>
      <c r="Y112" s="4" t="s">
        <v>242</v>
      </c>
      <c r="Z112" s="4" t="s">
        <v>306</v>
      </c>
      <c r="AA112" s="4" t="s">
        <v>241</v>
      </c>
      <c r="AD112" s="4" t="s">
        <v>241</v>
      </c>
      <c r="AF112" s="5" t="s">
        <v>241</v>
      </c>
      <c r="AI112" s="5" t="s">
        <v>540</v>
      </c>
      <c r="AJ112" s="4" t="s">
        <v>245</v>
      </c>
      <c r="AK112" s="4" t="s">
        <v>246</v>
      </c>
      <c r="BA112" s="4" t="s">
        <v>247</v>
      </c>
      <c r="BB112" s="4" t="s">
        <v>241</v>
      </c>
      <c r="BC112" s="4" t="s">
        <v>248</v>
      </c>
      <c r="BD112" s="4" t="s">
        <v>241</v>
      </c>
      <c r="BE112" s="4" t="s">
        <v>250</v>
      </c>
      <c r="BF112" s="4" t="s">
        <v>241</v>
      </c>
      <c r="BJ112" s="4" t="s">
        <v>433</v>
      </c>
      <c r="BK112" s="5" t="s">
        <v>434</v>
      </c>
      <c r="BL112" s="4" t="s">
        <v>253</v>
      </c>
      <c r="BM112" s="4" t="s">
        <v>537</v>
      </c>
      <c r="BN112" s="4" t="s">
        <v>241</v>
      </c>
      <c r="BO112" s="6">
        <f>0</f>
        <v>0</v>
      </c>
      <c r="BP112" s="6">
        <f>0</f>
        <v>0</v>
      </c>
      <c r="BQ112" s="4" t="s">
        <v>255</v>
      </c>
      <c r="BR112" s="4" t="s">
        <v>256</v>
      </c>
      <c r="CF112" s="4" t="s">
        <v>241</v>
      </c>
      <c r="CG112" s="4" t="s">
        <v>241</v>
      </c>
      <c r="CK112" s="4" t="s">
        <v>276</v>
      </c>
      <c r="CL112" s="4" t="s">
        <v>258</v>
      </c>
      <c r="CM112" s="4" t="s">
        <v>241</v>
      </c>
      <c r="CO112" s="4" t="s">
        <v>429</v>
      </c>
      <c r="CP112" s="5" t="s">
        <v>260</v>
      </c>
      <c r="CQ112" s="4" t="s">
        <v>261</v>
      </c>
      <c r="CR112" s="4" t="s">
        <v>262</v>
      </c>
      <c r="CS112" s="4" t="s">
        <v>241</v>
      </c>
      <c r="CT112" s="4" t="s">
        <v>241</v>
      </c>
      <c r="CU112" s="4">
        <v>0</v>
      </c>
      <c r="CV112" s="4" t="s">
        <v>298</v>
      </c>
      <c r="CW112" s="4" t="s">
        <v>263</v>
      </c>
      <c r="CX112" s="4" t="s">
        <v>264</v>
      </c>
      <c r="CZ112" s="6">
        <f>4621170</f>
        <v>4621170</v>
      </c>
      <c r="DA112" s="6">
        <f>0</f>
        <v>0</v>
      </c>
      <c r="DC112" s="4" t="s">
        <v>241</v>
      </c>
      <c r="DD112" s="4" t="s">
        <v>241</v>
      </c>
      <c r="DF112" s="4" t="s">
        <v>241</v>
      </c>
      <c r="DI112" s="4" t="s">
        <v>241</v>
      </c>
      <c r="DJ112" s="4" t="s">
        <v>241</v>
      </c>
      <c r="DK112" s="4" t="s">
        <v>241</v>
      </c>
      <c r="DL112" s="4" t="s">
        <v>241</v>
      </c>
      <c r="DM112" s="4" t="s">
        <v>268</v>
      </c>
      <c r="DN112" s="4" t="s">
        <v>269</v>
      </c>
      <c r="DO112" s="6">
        <f>49.69</f>
        <v>49.69</v>
      </c>
      <c r="DP112" s="4" t="s">
        <v>241</v>
      </c>
      <c r="DQ112" s="4" t="s">
        <v>241</v>
      </c>
      <c r="DR112" s="4" t="s">
        <v>241</v>
      </c>
      <c r="DS112" s="4" t="s">
        <v>241</v>
      </c>
      <c r="DV112" s="4" t="s">
        <v>539</v>
      </c>
      <c r="DW112" s="4" t="s">
        <v>282</v>
      </c>
      <c r="HO112" s="4" t="s">
        <v>282</v>
      </c>
      <c r="HR112" s="4" t="s">
        <v>269</v>
      </c>
      <c r="HS112" s="4" t="s">
        <v>269</v>
      </c>
    </row>
    <row r="113" spans="1:240" x14ac:dyDescent="0.4">
      <c r="A113" s="4">
        <v>2</v>
      </c>
      <c r="B113" s="4" t="s">
        <v>239</v>
      </c>
      <c r="C113" s="4">
        <v>1211</v>
      </c>
      <c r="D113" s="4">
        <v>1</v>
      </c>
      <c r="E113" s="4">
        <v>1</v>
      </c>
      <c r="F113" s="4" t="s">
        <v>240</v>
      </c>
      <c r="G113" s="4" t="s">
        <v>241</v>
      </c>
      <c r="H113" s="4" t="s">
        <v>241</v>
      </c>
      <c r="I113" s="4" t="s">
        <v>534</v>
      </c>
      <c r="J113" s="4" t="s">
        <v>294</v>
      </c>
      <c r="K113" s="4" t="s">
        <v>249</v>
      </c>
      <c r="L113" s="4" t="s">
        <v>621</v>
      </c>
      <c r="M113" s="5" t="s">
        <v>536</v>
      </c>
      <c r="N113" s="4" t="s">
        <v>665</v>
      </c>
      <c r="O113" s="6">
        <f>39.75</f>
        <v>39.75</v>
      </c>
      <c r="P113" s="4" t="s">
        <v>267</v>
      </c>
      <c r="Q113" s="6">
        <f>1</f>
        <v>1</v>
      </c>
      <c r="R113" s="6">
        <f>4293000</f>
        <v>4293000</v>
      </c>
      <c r="S113" s="5" t="s">
        <v>535</v>
      </c>
      <c r="T113" s="4" t="s">
        <v>265</v>
      </c>
      <c r="U113" s="4" t="s">
        <v>538</v>
      </c>
      <c r="W113" s="6">
        <f>4292999</f>
        <v>4292999</v>
      </c>
      <c r="X113" s="4" t="s">
        <v>292</v>
      </c>
      <c r="Y113" s="4" t="s">
        <v>242</v>
      </c>
      <c r="Z113" s="4" t="s">
        <v>306</v>
      </c>
      <c r="AA113" s="4" t="s">
        <v>241</v>
      </c>
      <c r="AD113" s="4" t="s">
        <v>241</v>
      </c>
      <c r="AF113" s="5" t="s">
        <v>241</v>
      </c>
      <c r="AI113" s="5" t="s">
        <v>540</v>
      </c>
      <c r="AJ113" s="4" t="s">
        <v>245</v>
      </c>
      <c r="AK113" s="4" t="s">
        <v>246</v>
      </c>
      <c r="BA113" s="4" t="s">
        <v>247</v>
      </c>
      <c r="BB113" s="4" t="s">
        <v>241</v>
      </c>
      <c r="BC113" s="4" t="s">
        <v>248</v>
      </c>
      <c r="BD113" s="4" t="s">
        <v>241</v>
      </c>
      <c r="BE113" s="4" t="s">
        <v>250</v>
      </c>
      <c r="BF113" s="4" t="s">
        <v>241</v>
      </c>
      <c r="BJ113" s="4" t="s">
        <v>251</v>
      </c>
      <c r="BK113" s="5" t="s">
        <v>252</v>
      </c>
      <c r="BL113" s="4" t="s">
        <v>253</v>
      </c>
      <c r="BM113" s="4" t="s">
        <v>537</v>
      </c>
      <c r="BN113" s="4" t="s">
        <v>241</v>
      </c>
      <c r="BO113" s="6">
        <f>0</f>
        <v>0</v>
      </c>
      <c r="BP113" s="6">
        <f>0</f>
        <v>0</v>
      </c>
      <c r="BQ113" s="4" t="s">
        <v>255</v>
      </c>
      <c r="BR113" s="4" t="s">
        <v>256</v>
      </c>
      <c r="CF113" s="4" t="s">
        <v>241</v>
      </c>
      <c r="CG113" s="4" t="s">
        <v>241</v>
      </c>
      <c r="CK113" s="4" t="s">
        <v>276</v>
      </c>
      <c r="CL113" s="4" t="s">
        <v>258</v>
      </c>
      <c r="CM113" s="4" t="s">
        <v>241</v>
      </c>
      <c r="CO113" s="4" t="s">
        <v>429</v>
      </c>
      <c r="CP113" s="5" t="s">
        <v>260</v>
      </c>
      <c r="CQ113" s="4" t="s">
        <v>261</v>
      </c>
      <c r="CR113" s="4" t="s">
        <v>262</v>
      </c>
      <c r="CS113" s="4" t="s">
        <v>241</v>
      </c>
      <c r="CT113" s="4" t="s">
        <v>241</v>
      </c>
      <c r="CU113" s="4">
        <v>0</v>
      </c>
      <c r="CV113" s="4" t="s">
        <v>298</v>
      </c>
      <c r="CW113" s="4" t="s">
        <v>263</v>
      </c>
      <c r="CX113" s="4" t="s">
        <v>264</v>
      </c>
      <c r="CZ113" s="6">
        <f>4293000</f>
        <v>4293000</v>
      </c>
      <c r="DA113" s="6">
        <f>0</f>
        <v>0</v>
      </c>
      <c r="DC113" s="4" t="s">
        <v>241</v>
      </c>
      <c r="DD113" s="4" t="s">
        <v>241</v>
      </c>
      <c r="DF113" s="4" t="s">
        <v>241</v>
      </c>
      <c r="DI113" s="4" t="s">
        <v>241</v>
      </c>
      <c r="DJ113" s="4" t="s">
        <v>241</v>
      </c>
      <c r="DK113" s="4" t="s">
        <v>241</v>
      </c>
      <c r="DL113" s="4" t="s">
        <v>241</v>
      </c>
      <c r="DM113" s="4" t="s">
        <v>268</v>
      </c>
      <c r="DN113" s="4" t="s">
        <v>269</v>
      </c>
      <c r="DO113" s="6">
        <f>39.75</f>
        <v>39.75</v>
      </c>
      <c r="DP113" s="4" t="s">
        <v>241</v>
      </c>
      <c r="DQ113" s="4" t="s">
        <v>241</v>
      </c>
      <c r="DR113" s="4" t="s">
        <v>241</v>
      </c>
      <c r="DS113" s="4" t="s">
        <v>241</v>
      </c>
      <c r="DV113" s="4" t="s">
        <v>539</v>
      </c>
      <c r="DW113" s="4" t="s">
        <v>310</v>
      </c>
      <c r="HO113" s="4" t="s">
        <v>282</v>
      </c>
      <c r="HR113" s="4" t="s">
        <v>269</v>
      </c>
      <c r="HS113" s="4" t="s">
        <v>269</v>
      </c>
    </row>
    <row r="114" spans="1:240" x14ac:dyDescent="0.4">
      <c r="A114" s="4">
        <v>2</v>
      </c>
      <c r="B114" s="4" t="s">
        <v>239</v>
      </c>
      <c r="C114" s="4">
        <v>1212</v>
      </c>
      <c r="D114" s="4">
        <v>1</v>
      </c>
      <c r="E114" s="4">
        <v>3</v>
      </c>
      <c r="F114" s="4" t="s">
        <v>240</v>
      </c>
      <c r="G114" s="4" t="s">
        <v>241</v>
      </c>
      <c r="H114" s="4" t="s">
        <v>241</v>
      </c>
      <c r="I114" s="4" t="s">
        <v>534</v>
      </c>
      <c r="J114" s="4" t="s">
        <v>294</v>
      </c>
      <c r="K114" s="4" t="s">
        <v>249</v>
      </c>
      <c r="L114" s="4" t="s">
        <v>706</v>
      </c>
      <c r="M114" s="5" t="s">
        <v>536</v>
      </c>
      <c r="N114" s="4" t="s">
        <v>706</v>
      </c>
      <c r="O114" s="6">
        <f>609.8</f>
        <v>609.79999999999995</v>
      </c>
      <c r="P114" s="4" t="s">
        <v>267</v>
      </c>
      <c r="Q114" s="6">
        <f>89201544</f>
        <v>89201544</v>
      </c>
      <c r="R114" s="6">
        <f>193916400</f>
        <v>193916400</v>
      </c>
      <c r="S114" s="5" t="s">
        <v>535</v>
      </c>
      <c r="T114" s="4" t="s">
        <v>280</v>
      </c>
      <c r="U114" s="4" t="s">
        <v>453</v>
      </c>
      <c r="V114" s="6">
        <f>3878328</f>
        <v>3878328</v>
      </c>
      <c r="W114" s="6">
        <f>104714856</f>
        <v>104714856</v>
      </c>
      <c r="X114" s="4" t="s">
        <v>292</v>
      </c>
      <c r="Y114" s="4" t="s">
        <v>242</v>
      </c>
      <c r="Z114" s="4" t="s">
        <v>306</v>
      </c>
      <c r="AA114" s="4" t="s">
        <v>241</v>
      </c>
      <c r="AD114" s="4" t="s">
        <v>241</v>
      </c>
      <c r="AE114" s="5" t="s">
        <v>241</v>
      </c>
      <c r="AF114" s="5" t="s">
        <v>241</v>
      </c>
      <c r="AH114" s="5" t="s">
        <v>241</v>
      </c>
      <c r="AI114" s="5" t="s">
        <v>244</v>
      </c>
      <c r="AJ114" s="4" t="s">
        <v>245</v>
      </c>
      <c r="AK114" s="4" t="s">
        <v>246</v>
      </c>
      <c r="AQ114" s="4" t="s">
        <v>241</v>
      </c>
      <c r="AR114" s="4" t="s">
        <v>241</v>
      </c>
      <c r="AS114" s="4" t="s">
        <v>241</v>
      </c>
      <c r="AT114" s="5" t="s">
        <v>241</v>
      </c>
      <c r="AU114" s="5" t="s">
        <v>241</v>
      </c>
      <c r="AV114" s="5" t="s">
        <v>241</v>
      </c>
      <c r="AY114" s="4" t="s">
        <v>271</v>
      </c>
      <c r="AZ114" s="4" t="s">
        <v>271</v>
      </c>
      <c r="BA114" s="4" t="s">
        <v>247</v>
      </c>
      <c r="BB114" s="4" t="s">
        <v>272</v>
      </c>
      <c r="BC114" s="4" t="s">
        <v>248</v>
      </c>
      <c r="BD114" s="4" t="s">
        <v>241</v>
      </c>
      <c r="BE114" s="4" t="s">
        <v>250</v>
      </c>
      <c r="BF114" s="4" t="s">
        <v>241</v>
      </c>
      <c r="BJ114" s="4" t="s">
        <v>273</v>
      </c>
      <c r="BK114" s="5" t="s">
        <v>274</v>
      </c>
      <c r="BL114" s="4" t="s">
        <v>275</v>
      </c>
      <c r="BM114" s="4" t="s">
        <v>275</v>
      </c>
      <c r="BN114" s="4" t="s">
        <v>241</v>
      </c>
      <c r="BO114" s="6">
        <f>0</f>
        <v>0</v>
      </c>
      <c r="BP114" s="6">
        <f>-3878328</f>
        <v>-3878328</v>
      </c>
      <c r="BQ114" s="4" t="s">
        <v>255</v>
      </c>
      <c r="BR114" s="4" t="s">
        <v>256</v>
      </c>
      <c r="BS114" s="4" t="s">
        <v>241</v>
      </c>
      <c r="BT114" s="4" t="s">
        <v>241</v>
      </c>
      <c r="BU114" s="4" t="s">
        <v>241</v>
      </c>
      <c r="BV114" s="4" t="s">
        <v>241</v>
      </c>
      <c r="CE114" s="4" t="s">
        <v>256</v>
      </c>
      <c r="CF114" s="4" t="s">
        <v>241</v>
      </c>
      <c r="CG114" s="4" t="s">
        <v>241</v>
      </c>
      <c r="CK114" s="4" t="s">
        <v>276</v>
      </c>
      <c r="CL114" s="4" t="s">
        <v>258</v>
      </c>
      <c r="CM114" s="4" t="s">
        <v>241</v>
      </c>
      <c r="CO114" s="4" t="s">
        <v>429</v>
      </c>
      <c r="CP114" s="5" t="s">
        <v>260</v>
      </c>
      <c r="CQ114" s="4" t="s">
        <v>261</v>
      </c>
      <c r="CR114" s="4" t="s">
        <v>262</v>
      </c>
      <c r="CS114" s="4" t="s">
        <v>278</v>
      </c>
      <c r="CT114" s="4" t="s">
        <v>241</v>
      </c>
      <c r="CU114" s="4">
        <v>0.02</v>
      </c>
      <c r="CV114" s="4" t="s">
        <v>298</v>
      </c>
      <c r="CW114" s="4" t="s">
        <v>705</v>
      </c>
      <c r="CX114" s="4" t="s">
        <v>279</v>
      </c>
      <c r="CY114" s="6">
        <f>0</f>
        <v>0</v>
      </c>
      <c r="CZ114" s="6">
        <f>193916400</f>
        <v>193916400</v>
      </c>
      <c r="DA114" s="6">
        <f>89201544</f>
        <v>89201544</v>
      </c>
      <c r="DC114" s="4" t="s">
        <v>241</v>
      </c>
      <c r="DD114" s="4" t="s">
        <v>241</v>
      </c>
      <c r="DF114" s="4" t="s">
        <v>241</v>
      </c>
      <c r="DG114" s="6">
        <f>0</f>
        <v>0</v>
      </c>
      <c r="DI114" s="4" t="s">
        <v>241</v>
      </c>
      <c r="DJ114" s="4" t="s">
        <v>241</v>
      </c>
      <c r="DK114" s="4" t="s">
        <v>241</v>
      </c>
      <c r="DL114" s="4" t="s">
        <v>241</v>
      </c>
      <c r="DM114" s="4" t="s">
        <v>268</v>
      </c>
      <c r="DN114" s="4" t="s">
        <v>269</v>
      </c>
      <c r="DO114" s="6">
        <f>609.8</f>
        <v>609.79999999999995</v>
      </c>
      <c r="DP114" s="4" t="s">
        <v>241</v>
      </c>
      <c r="DQ114" s="4" t="s">
        <v>241</v>
      </c>
      <c r="DR114" s="4" t="s">
        <v>241</v>
      </c>
      <c r="DS114" s="4" t="s">
        <v>241</v>
      </c>
      <c r="DV114" s="4" t="s">
        <v>539</v>
      </c>
      <c r="DW114" s="4" t="s">
        <v>315</v>
      </c>
      <c r="GN114" s="4" t="s">
        <v>740</v>
      </c>
      <c r="HO114" s="4" t="s">
        <v>315</v>
      </c>
      <c r="HR114" s="4" t="s">
        <v>269</v>
      </c>
      <c r="HS114" s="4" t="s">
        <v>269</v>
      </c>
      <c r="HT114" s="4" t="s">
        <v>241</v>
      </c>
      <c r="HU114" s="4" t="s">
        <v>241</v>
      </c>
      <c r="HV114" s="4" t="s">
        <v>241</v>
      </c>
      <c r="HW114" s="4" t="s">
        <v>241</v>
      </c>
      <c r="HX114" s="4" t="s">
        <v>241</v>
      </c>
      <c r="HY114" s="4" t="s">
        <v>241</v>
      </c>
      <c r="HZ114" s="4" t="s">
        <v>241</v>
      </c>
      <c r="IA114" s="4" t="s">
        <v>241</v>
      </c>
      <c r="IB114" s="4" t="s">
        <v>241</v>
      </c>
      <c r="IC114" s="4" t="s">
        <v>241</v>
      </c>
      <c r="ID114" s="4" t="s">
        <v>241</v>
      </c>
      <c r="IE114" s="4" t="s">
        <v>241</v>
      </c>
      <c r="IF114" s="4" t="s">
        <v>241</v>
      </c>
    </row>
    <row r="115" spans="1:240" x14ac:dyDescent="0.4">
      <c r="A115" s="4">
        <v>2</v>
      </c>
      <c r="B115" s="4" t="s">
        <v>239</v>
      </c>
      <c r="C115" s="4">
        <v>1213</v>
      </c>
      <c r="D115" s="4">
        <v>1</v>
      </c>
      <c r="E115" s="4">
        <v>1</v>
      </c>
      <c r="F115" s="4" t="s">
        <v>240</v>
      </c>
      <c r="G115" s="4" t="s">
        <v>241</v>
      </c>
      <c r="H115" s="4" t="s">
        <v>241</v>
      </c>
      <c r="I115" s="4" t="s">
        <v>534</v>
      </c>
      <c r="J115" s="4" t="s">
        <v>294</v>
      </c>
      <c r="K115" s="4" t="s">
        <v>249</v>
      </c>
      <c r="L115" s="4" t="s">
        <v>675</v>
      </c>
      <c r="M115" s="5" t="s">
        <v>536</v>
      </c>
      <c r="N115" s="4" t="s">
        <v>675</v>
      </c>
      <c r="O115" s="6">
        <f>21.29</f>
        <v>21.29</v>
      </c>
      <c r="P115" s="4" t="s">
        <v>267</v>
      </c>
      <c r="Q115" s="6">
        <f>1</f>
        <v>1</v>
      </c>
      <c r="R115" s="6">
        <f>2043840</f>
        <v>2043840</v>
      </c>
      <c r="S115" s="5" t="s">
        <v>535</v>
      </c>
      <c r="T115" s="4" t="s">
        <v>538</v>
      </c>
      <c r="U115" s="4" t="s">
        <v>538</v>
      </c>
      <c r="W115" s="6">
        <f>2043839</f>
        <v>2043839</v>
      </c>
      <c r="X115" s="4" t="s">
        <v>292</v>
      </c>
      <c r="Y115" s="4" t="s">
        <v>242</v>
      </c>
      <c r="Z115" s="4" t="s">
        <v>306</v>
      </c>
      <c r="AA115" s="4" t="s">
        <v>241</v>
      </c>
      <c r="AD115" s="4" t="s">
        <v>241</v>
      </c>
      <c r="AF115" s="5" t="s">
        <v>241</v>
      </c>
      <c r="AI115" s="5" t="s">
        <v>244</v>
      </c>
      <c r="AJ115" s="4" t="s">
        <v>245</v>
      </c>
      <c r="AK115" s="4" t="s">
        <v>246</v>
      </c>
      <c r="BA115" s="4" t="s">
        <v>247</v>
      </c>
      <c r="BB115" s="4" t="s">
        <v>241</v>
      </c>
      <c r="BC115" s="4" t="s">
        <v>248</v>
      </c>
      <c r="BD115" s="4" t="s">
        <v>241</v>
      </c>
      <c r="BE115" s="4" t="s">
        <v>250</v>
      </c>
      <c r="BF115" s="4" t="s">
        <v>241</v>
      </c>
      <c r="BJ115" s="4" t="s">
        <v>427</v>
      </c>
      <c r="BK115" s="5" t="s">
        <v>428</v>
      </c>
      <c r="BL115" s="4" t="s">
        <v>253</v>
      </c>
      <c r="BM115" s="4" t="s">
        <v>537</v>
      </c>
      <c r="BN115" s="4" t="s">
        <v>241</v>
      </c>
      <c r="BO115" s="6">
        <f>0</f>
        <v>0</v>
      </c>
      <c r="BP115" s="6">
        <f>0</f>
        <v>0</v>
      </c>
      <c r="BQ115" s="4" t="s">
        <v>255</v>
      </c>
      <c r="BR115" s="4" t="s">
        <v>256</v>
      </c>
      <c r="CF115" s="4" t="s">
        <v>241</v>
      </c>
      <c r="CG115" s="4" t="s">
        <v>241</v>
      </c>
      <c r="CK115" s="4" t="s">
        <v>276</v>
      </c>
      <c r="CL115" s="4" t="s">
        <v>258</v>
      </c>
      <c r="CM115" s="4" t="s">
        <v>241</v>
      </c>
      <c r="CO115" s="4" t="s">
        <v>429</v>
      </c>
      <c r="CP115" s="5" t="s">
        <v>260</v>
      </c>
      <c r="CQ115" s="4" t="s">
        <v>261</v>
      </c>
      <c r="CR115" s="4" t="s">
        <v>262</v>
      </c>
      <c r="CS115" s="4" t="s">
        <v>241</v>
      </c>
      <c r="CT115" s="4" t="s">
        <v>241</v>
      </c>
      <c r="CU115" s="4">
        <v>0</v>
      </c>
      <c r="CV115" s="4" t="s">
        <v>298</v>
      </c>
      <c r="CW115" s="4" t="s">
        <v>676</v>
      </c>
      <c r="CX115" s="4" t="s">
        <v>264</v>
      </c>
      <c r="CZ115" s="6">
        <f>2043840</f>
        <v>2043840</v>
      </c>
      <c r="DA115" s="6">
        <f>0</f>
        <v>0</v>
      </c>
      <c r="DC115" s="4" t="s">
        <v>241</v>
      </c>
      <c r="DD115" s="4" t="s">
        <v>241</v>
      </c>
      <c r="DF115" s="4" t="s">
        <v>241</v>
      </c>
      <c r="DI115" s="4" t="s">
        <v>241</v>
      </c>
      <c r="DJ115" s="4" t="s">
        <v>241</v>
      </c>
      <c r="DK115" s="4" t="s">
        <v>241</v>
      </c>
      <c r="DL115" s="4" t="s">
        <v>241</v>
      </c>
      <c r="DM115" s="4" t="s">
        <v>268</v>
      </c>
      <c r="DN115" s="4" t="s">
        <v>269</v>
      </c>
      <c r="DO115" s="6">
        <f>21.29</f>
        <v>21.29</v>
      </c>
      <c r="DP115" s="4" t="s">
        <v>241</v>
      </c>
      <c r="DQ115" s="4" t="s">
        <v>241</v>
      </c>
      <c r="DR115" s="4" t="s">
        <v>241</v>
      </c>
      <c r="DS115" s="4" t="s">
        <v>241</v>
      </c>
      <c r="DV115" s="4" t="s">
        <v>539</v>
      </c>
      <c r="DW115" s="4" t="s">
        <v>596</v>
      </c>
      <c r="HO115" s="4" t="s">
        <v>310</v>
      </c>
      <c r="HR115" s="4" t="s">
        <v>269</v>
      </c>
      <c r="HS115" s="4" t="s">
        <v>269</v>
      </c>
    </row>
    <row r="116" spans="1:240" x14ac:dyDescent="0.4">
      <c r="A116" s="4">
        <v>2</v>
      </c>
      <c r="B116" s="4" t="s">
        <v>239</v>
      </c>
      <c r="C116" s="4">
        <v>1214</v>
      </c>
      <c r="D116" s="4">
        <v>1</v>
      </c>
      <c r="E116" s="4">
        <v>3</v>
      </c>
      <c r="F116" s="4" t="s">
        <v>240</v>
      </c>
      <c r="G116" s="4" t="s">
        <v>241</v>
      </c>
      <c r="H116" s="4" t="s">
        <v>241</v>
      </c>
      <c r="I116" s="4" t="s">
        <v>534</v>
      </c>
      <c r="J116" s="4" t="s">
        <v>294</v>
      </c>
      <c r="K116" s="4" t="s">
        <v>249</v>
      </c>
      <c r="L116" s="4" t="s">
        <v>576</v>
      </c>
      <c r="M116" s="5" t="s">
        <v>536</v>
      </c>
      <c r="N116" s="4" t="s">
        <v>709</v>
      </c>
      <c r="O116" s="6">
        <f>42.09</f>
        <v>42.09</v>
      </c>
      <c r="P116" s="4" t="s">
        <v>267</v>
      </c>
      <c r="Q116" s="6">
        <f>579834</f>
        <v>579834</v>
      </c>
      <c r="R116" s="6">
        <f>7071120</f>
        <v>7071120</v>
      </c>
      <c r="S116" s="5" t="s">
        <v>535</v>
      </c>
      <c r="T116" s="4" t="s">
        <v>578</v>
      </c>
      <c r="U116" s="4" t="s">
        <v>453</v>
      </c>
      <c r="V116" s="6">
        <f>240418</f>
        <v>240418</v>
      </c>
      <c r="W116" s="6">
        <f>6491286</f>
        <v>6491286</v>
      </c>
      <c r="X116" s="4" t="s">
        <v>292</v>
      </c>
      <c r="Y116" s="4" t="s">
        <v>242</v>
      </c>
      <c r="Z116" s="4" t="s">
        <v>306</v>
      </c>
      <c r="AA116" s="4" t="s">
        <v>241</v>
      </c>
      <c r="AD116" s="4" t="s">
        <v>241</v>
      </c>
      <c r="AE116" s="5" t="s">
        <v>241</v>
      </c>
      <c r="AF116" s="5" t="s">
        <v>241</v>
      </c>
      <c r="AH116" s="5" t="s">
        <v>241</v>
      </c>
      <c r="AI116" s="5" t="s">
        <v>244</v>
      </c>
      <c r="AJ116" s="4" t="s">
        <v>245</v>
      </c>
      <c r="AK116" s="4" t="s">
        <v>246</v>
      </c>
      <c r="AQ116" s="4" t="s">
        <v>241</v>
      </c>
      <c r="AR116" s="4" t="s">
        <v>241</v>
      </c>
      <c r="AS116" s="4" t="s">
        <v>241</v>
      </c>
      <c r="AT116" s="5" t="s">
        <v>241</v>
      </c>
      <c r="AU116" s="5" t="s">
        <v>241</v>
      </c>
      <c r="AV116" s="5" t="s">
        <v>241</v>
      </c>
      <c r="AY116" s="4" t="s">
        <v>271</v>
      </c>
      <c r="AZ116" s="4" t="s">
        <v>271</v>
      </c>
      <c r="BA116" s="4" t="s">
        <v>247</v>
      </c>
      <c r="BB116" s="4" t="s">
        <v>272</v>
      </c>
      <c r="BC116" s="4" t="s">
        <v>248</v>
      </c>
      <c r="BD116" s="4" t="s">
        <v>241</v>
      </c>
      <c r="BE116" s="4" t="s">
        <v>250</v>
      </c>
      <c r="BF116" s="4" t="s">
        <v>241</v>
      </c>
      <c r="BJ116" s="4" t="s">
        <v>273</v>
      </c>
      <c r="BK116" s="5" t="s">
        <v>274</v>
      </c>
      <c r="BL116" s="4" t="s">
        <v>275</v>
      </c>
      <c r="BM116" s="4" t="s">
        <v>275</v>
      </c>
      <c r="BN116" s="4" t="s">
        <v>241</v>
      </c>
      <c r="BO116" s="6">
        <f>0</f>
        <v>0</v>
      </c>
      <c r="BP116" s="6">
        <f>-240418</f>
        <v>-240418</v>
      </c>
      <c r="BQ116" s="4" t="s">
        <v>255</v>
      </c>
      <c r="BR116" s="4" t="s">
        <v>256</v>
      </c>
      <c r="BS116" s="4" t="s">
        <v>241</v>
      </c>
      <c r="BT116" s="4" t="s">
        <v>241</v>
      </c>
      <c r="BU116" s="4" t="s">
        <v>241</v>
      </c>
      <c r="BV116" s="4" t="s">
        <v>241</v>
      </c>
      <c r="CE116" s="4" t="s">
        <v>256</v>
      </c>
      <c r="CF116" s="4" t="s">
        <v>241</v>
      </c>
      <c r="CG116" s="4" t="s">
        <v>241</v>
      </c>
      <c r="CK116" s="4" t="s">
        <v>276</v>
      </c>
      <c r="CL116" s="4" t="s">
        <v>258</v>
      </c>
      <c r="CM116" s="4" t="s">
        <v>241</v>
      </c>
      <c r="CO116" s="4" t="s">
        <v>429</v>
      </c>
      <c r="CP116" s="5" t="s">
        <v>260</v>
      </c>
      <c r="CQ116" s="4" t="s">
        <v>261</v>
      </c>
      <c r="CR116" s="4" t="s">
        <v>262</v>
      </c>
      <c r="CS116" s="4" t="s">
        <v>278</v>
      </c>
      <c r="CT116" s="4" t="s">
        <v>241</v>
      </c>
      <c r="CU116" s="4">
        <v>3.4000000000000002E-2</v>
      </c>
      <c r="CV116" s="4" t="s">
        <v>298</v>
      </c>
      <c r="CW116" s="4" t="s">
        <v>705</v>
      </c>
      <c r="CX116" s="4" t="s">
        <v>264</v>
      </c>
      <c r="CY116" s="6">
        <f>0</f>
        <v>0</v>
      </c>
      <c r="CZ116" s="6">
        <f>7071120</f>
        <v>7071120</v>
      </c>
      <c r="DA116" s="6">
        <f>579834</f>
        <v>579834</v>
      </c>
      <c r="DC116" s="4" t="s">
        <v>241</v>
      </c>
      <c r="DD116" s="4" t="s">
        <v>241</v>
      </c>
      <c r="DF116" s="4" t="s">
        <v>241</v>
      </c>
      <c r="DG116" s="6">
        <f>0</f>
        <v>0</v>
      </c>
      <c r="DI116" s="4" t="s">
        <v>241</v>
      </c>
      <c r="DJ116" s="4" t="s">
        <v>241</v>
      </c>
      <c r="DK116" s="4" t="s">
        <v>241</v>
      </c>
      <c r="DL116" s="4" t="s">
        <v>241</v>
      </c>
      <c r="DM116" s="4" t="s">
        <v>268</v>
      </c>
      <c r="DN116" s="4" t="s">
        <v>269</v>
      </c>
      <c r="DO116" s="6">
        <f>42.09</f>
        <v>42.09</v>
      </c>
      <c r="DP116" s="4" t="s">
        <v>241</v>
      </c>
      <c r="DQ116" s="4" t="s">
        <v>241</v>
      </c>
      <c r="DR116" s="4" t="s">
        <v>241</v>
      </c>
      <c r="DS116" s="4" t="s">
        <v>241</v>
      </c>
      <c r="DV116" s="4" t="s">
        <v>539</v>
      </c>
      <c r="DW116" s="4" t="s">
        <v>618</v>
      </c>
      <c r="GN116" s="4" t="s">
        <v>746</v>
      </c>
      <c r="HO116" s="4" t="s">
        <v>315</v>
      </c>
      <c r="HR116" s="4" t="s">
        <v>269</v>
      </c>
      <c r="HS116" s="4" t="s">
        <v>269</v>
      </c>
      <c r="HT116" s="4" t="s">
        <v>241</v>
      </c>
      <c r="HU116" s="4" t="s">
        <v>241</v>
      </c>
      <c r="HV116" s="4" t="s">
        <v>241</v>
      </c>
      <c r="HW116" s="4" t="s">
        <v>241</v>
      </c>
      <c r="HX116" s="4" t="s">
        <v>241</v>
      </c>
      <c r="HY116" s="4" t="s">
        <v>241</v>
      </c>
      <c r="HZ116" s="4" t="s">
        <v>241</v>
      </c>
      <c r="IA116" s="4" t="s">
        <v>241</v>
      </c>
      <c r="IB116" s="4" t="s">
        <v>241</v>
      </c>
      <c r="IC116" s="4" t="s">
        <v>241</v>
      </c>
      <c r="ID116" s="4" t="s">
        <v>241</v>
      </c>
      <c r="IE116" s="4" t="s">
        <v>241</v>
      </c>
      <c r="IF116" s="4" t="s">
        <v>241</v>
      </c>
    </row>
    <row r="117" spans="1:240" x14ac:dyDescent="0.4">
      <c r="A117" s="4">
        <v>2</v>
      </c>
      <c r="B117" s="4" t="s">
        <v>239</v>
      </c>
      <c r="C117" s="4">
        <v>1215</v>
      </c>
      <c r="D117" s="4">
        <v>1</v>
      </c>
      <c r="E117" s="4">
        <v>3</v>
      </c>
      <c r="F117" s="4" t="s">
        <v>240</v>
      </c>
      <c r="G117" s="4" t="s">
        <v>241</v>
      </c>
      <c r="H117" s="4" t="s">
        <v>241</v>
      </c>
      <c r="I117" s="4" t="s">
        <v>534</v>
      </c>
      <c r="J117" s="4" t="s">
        <v>294</v>
      </c>
      <c r="K117" s="4" t="s">
        <v>249</v>
      </c>
      <c r="L117" s="4" t="s">
        <v>576</v>
      </c>
      <c r="M117" s="5" t="s">
        <v>536</v>
      </c>
      <c r="N117" s="4" t="s">
        <v>744</v>
      </c>
      <c r="O117" s="6">
        <f>79.25</f>
        <v>79.25</v>
      </c>
      <c r="P117" s="4" t="s">
        <v>267</v>
      </c>
      <c r="Q117" s="6">
        <f>3522187</f>
        <v>3522187</v>
      </c>
      <c r="R117" s="6">
        <f>12997000</f>
        <v>12997000</v>
      </c>
      <c r="S117" s="5" t="s">
        <v>535</v>
      </c>
      <c r="T117" s="4" t="s">
        <v>300</v>
      </c>
      <c r="U117" s="4" t="s">
        <v>453</v>
      </c>
      <c r="V117" s="6">
        <f>350919</f>
        <v>350919</v>
      </c>
      <c r="W117" s="6">
        <f>9474813</f>
        <v>9474813</v>
      </c>
      <c r="X117" s="4" t="s">
        <v>292</v>
      </c>
      <c r="Y117" s="4" t="s">
        <v>242</v>
      </c>
      <c r="Z117" s="4" t="s">
        <v>306</v>
      </c>
      <c r="AA117" s="4" t="s">
        <v>241</v>
      </c>
      <c r="AD117" s="4" t="s">
        <v>241</v>
      </c>
      <c r="AE117" s="5" t="s">
        <v>241</v>
      </c>
      <c r="AF117" s="5" t="s">
        <v>241</v>
      </c>
      <c r="AH117" s="5" t="s">
        <v>241</v>
      </c>
      <c r="AI117" s="5" t="s">
        <v>244</v>
      </c>
      <c r="AJ117" s="4" t="s">
        <v>245</v>
      </c>
      <c r="AK117" s="4" t="s">
        <v>246</v>
      </c>
      <c r="AQ117" s="4" t="s">
        <v>241</v>
      </c>
      <c r="AR117" s="4" t="s">
        <v>241</v>
      </c>
      <c r="AS117" s="4" t="s">
        <v>241</v>
      </c>
      <c r="AT117" s="5" t="s">
        <v>241</v>
      </c>
      <c r="AU117" s="5" t="s">
        <v>241</v>
      </c>
      <c r="AV117" s="5" t="s">
        <v>241</v>
      </c>
      <c r="AY117" s="4" t="s">
        <v>271</v>
      </c>
      <c r="AZ117" s="4" t="s">
        <v>271</v>
      </c>
      <c r="BA117" s="4" t="s">
        <v>247</v>
      </c>
      <c r="BB117" s="4" t="s">
        <v>272</v>
      </c>
      <c r="BC117" s="4" t="s">
        <v>248</v>
      </c>
      <c r="BD117" s="4" t="s">
        <v>241</v>
      </c>
      <c r="BE117" s="4" t="s">
        <v>250</v>
      </c>
      <c r="BF117" s="4" t="s">
        <v>241</v>
      </c>
      <c r="BJ117" s="4" t="s">
        <v>273</v>
      </c>
      <c r="BK117" s="5" t="s">
        <v>274</v>
      </c>
      <c r="BL117" s="4" t="s">
        <v>275</v>
      </c>
      <c r="BM117" s="4" t="s">
        <v>275</v>
      </c>
      <c r="BN117" s="4" t="s">
        <v>241</v>
      </c>
      <c r="BO117" s="6">
        <f>0</f>
        <v>0</v>
      </c>
      <c r="BP117" s="6">
        <f>-350919</f>
        <v>-350919</v>
      </c>
      <c r="BQ117" s="4" t="s">
        <v>255</v>
      </c>
      <c r="BR117" s="4" t="s">
        <v>256</v>
      </c>
      <c r="BS117" s="4" t="s">
        <v>241</v>
      </c>
      <c r="BT117" s="4" t="s">
        <v>241</v>
      </c>
      <c r="BU117" s="4" t="s">
        <v>241</v>
      </c>
      <c r="BV117" s="4" t="s">
        <v>241</v>
      </c>
      <c r="CE117" s="4" t="s">
        <v>256</v>
      </c>
      <c r="CF117" s="4" t="s">
        <v>241</v>
      </c>
      <c r="CG117" s="4" t="s">
        <v>241</v>
      </c>
      <c r="CK117" s="4" t="s">
        <v>276</v>
      </c>
      <c r="CL117" s="4" t="s">
        <v>258</v>
      </c>
      <c r="CM117" s="4" t="s">
        <v>241</v>
      </c>
      <c r="CO117" s="4" t="s">
        <v>429</v>
      </c>
      <c r="CP117" s="5" t="s">
        <v>260</v>
      </c>
      <c r="CQ117" s="4" t="s">
        <v>261</v>
      </c>
      <c r="CR117" s="4" t="s">
        <v>262</v>
      </c>
      <c r="CS117" s="4" t="s">
        <v>278</v>
      </c>
      <c r="CT117" s="4" t="s">
        <v>241</v>
      </c>
      <c r="CU117" s="4">
        <v>2.7E-2</v>
      </c>
      <c r="CV117" s="4" t="s">
        <v>298</v>
      </c>
      <c r="CW117" s="4" t="s">
        <v>705</v>
      </c>
      <c r="CX117" s="4" t="s">
        <v>683</v>
      </c>
      <c r="CY117" s="6">
        <f>0</f>
        <v>0</v>
      </c>
      <c r="CZ117" s="6">
        <f>12997000</f>
        <v>12997000</v>
      </c>
      <c r="DA117" s="6">
        <f>3522187</f>
        <v>3522187</v>
      </c>
      <c r="DC117" s="4" t="s">
        <v>241</v>
      </c>
      <c r="DD117" s="4" t="s">
        <v>241</v>
      </c>
      <c r="DF117" s="4" t="s">
        <v>241</v>
      </c>
      <c r="DG117" s="6">
        <f>0</f>
        <v>0</v>
      </c>
      <c r="DI117" s="4" t="s">
        <v>241</v>
      </c>
      <c r="DJ117" s="4" t="s">
        <v>241</v>
      </c>
      <c r="DK117" s="4" t="s">
        <v>241</v>
      </c>
      <c r="DL117" s="4" t="s">
        <v>241</v>
      </c>
      <c r="DM117" s="4" t="s">
        <v>268</v>
      </c>
      <c r="DN117" s="4" t="s">
        <v>269</v>
      </c>
      <c r="DO117" s="6">
        <f>79.25</f>
        <v>79.25</v>
      </c>
      <c r="DP117" s="4" t="s">
        <v>241</v>
      </c>
      <c r="DQ117" s="4" t="s">
        <v>241</v>
      </c>
      <c r="DR117" s="4" t="s">
        <v>241</v>
      </c>
      <c r="DS117" s="4" t="s">
        <v>241</v>
      </c>
      <c r="DV117" s="4" t="s">
        <v>539</v>
      </c>
      <c r="DW117" s="4" t="s">
        <v>342</v>
      </c>
      <c r="GN117" s="4" t="s">
        <v>745</v>
      </c>
      <c r="HO117" s="4" t="s">
        <v>315</v>
      </c>
      <c r="HR117" s="4" t="s">
        <v>269</v>
      </c>
      <c r="HS117" s="4" t="s">
        <v>269</v>
      </c>
      <c r="HT117" s="4" t="s">
        <v>241</v>
      </c>
      <c r="HU117" s="4" t="s">
        <v>241</v>
      </c>
      <c r="HV117" s="4" t="s">
        <v>241</v>
      </c>
      <c r="HW117" s="4" t="s">
        <v>241</v>
      </c>
      <c r="HX117" s="4" t="s">
        <v>241</v>
      </c>
      <c r="HY117" s="4" t="s">
        <v>241</v>
      </c>
      <c r="HZ117" s="4" t="s">
        <v>241</v>
      </c>
      <c r="IA117" s="4" t="s">
        <v>241</v>
      </c>
      <c r="IB117" s="4" t="s">
        <v>241</v>
      </c>
      <c r="IC117" s="4" t="s">
        <v>241</v>
      </c>
      <c r="ID117" s="4" t="s">
        <v>241</v>
      </c>
      <c r="IE117" s="4" t="s">
        <v>241</v>
      </c>
      <c r="IF117" s="4" t="s">
        <v>241</v>
      </c>
    </row>
    <row r="118" spans="1:240" x14ac:dyDescent="0.4">
      <c r="A118" s="4">
        <v>2</v>
      </c>
      <c r="B118" s="4" t="s">
        <v>239</v>
      </c>
      <c r="C118" s="4">
        <v>1216</v>
      </c>
      <c r="D118" s="4">
        <v>1</v>
      </c>
      <c r="E118" s="4">
        <v>3</v>
      </c>
      <c r="F118" s="4" t="s">
        <v>240</v>
      </c>
      <c r="G118" s="4" t="s">
        <v>241</v>
      </c>
      <c r="H118" s="4" t="s">
        <v>241</v>
      </c>
      <c r="I118" s="4" t="s">
        <v>534</v>
      </c>
      <c r="J118" s="4" t="s">
        <v>294</v>
      </c>
      <c r="K118" s="4" t="s">
        <v>249</v>
      </c>
      <c r="L118" s="4" t="s">
        <v>576</v>
      </c>
      <c r="M118" s="5" t="s">
        <v>536</v>
      </c>
      <c r="N118" s="4" t="s">
        <v>575</v>
      </c>
      <c r="O118" s="6">
        <f>67.5</f>
        <v>67.5</v>
      </c>
      <c r="P118" s="4" t="s">
        <v>267</v>
      </c>
      <c r="Q118" s="6">
        <f>1544265</f>
        <v>1544265</v>
      </c>
      <c r="R118" s="6">
        <f>18832500</f>
        <v>18832500</v>
      </c>
      <c r="S118" s="5" t="s">
        <v>535</v>
      </c>
      <c r="T118" s="4" t="s">
        <v>578</v>
      </c>
      <c r="U118" s="4" t="s">
        <v>453</v>
      </c>
      <c r="V118" s="6">
        <f>640305</f>
        <v>640305</v>
      </c>
      <c r="W118" s="6">
        <f>17288235</f>
        <v>17288235</v>
      </c>
      <c r="X118" s="4" t="s">
        <v>292</v>
      </c>
      <c r="Y118" s="4" t="s">
        <v>242</v>
      </c>
      <c r="Z118" s="4" t="s">
        <v>306</v>
      </c>
      <c r="AA118" s="4" t="s">
        <v>241</v>
      </c>
      <c r="AD118" s="4" t="s">
        <v>241</v>
      </c>
      <c r="AE118" s="5" t="s">
        <v>241</v>
      </c>
      <c r="AF118" s="5" t="s">
        <v>241</v>
      </c>
      <c r="AH118" s="5" t="s">
        <v>241</v>
      </c>
      <c r="AI118" s="5" t="s">
        <v>244</v>
      </c>
      <c r="AJ118" s="4" t="s">
        <v>245</v>
      </c>
      <c r="AK118" s="4" t="s">
        <v>246</v>
      </c>
      <c r="AQ118" s="4" t="s">
        <v>241</v>
      </c>
      <c r="AR118" s="4" t="s">
        <v>241</v>
      </c>
      <c r="AS118" s="4" t="s">
        <v>241</v>
      </c>
      <c r="AT118" s="5" t="s">
        <v>241</v>
      </c>
      <c r="AU118" s="5" t="s">
        <v>241</v>
      </c>
      <c r="AV118" s="5" t="s">
        <v>241</v>
      </c>
      <c r="AY118" s="4" t="s">
        <v>271</v>
      </c>
      <c r="AZ118" s="4" t="s">
        <v>271</v>
      </c>
      <c r="BA118" s="4" t="s">
        <v>247</v>
      </c>
      <c r="BB118" s="4" t="s">
        <v>272</v>
      </c>
      <c r="BC118" s="4" t="s">
        <v>248</v>
      </c>
      <c r="BD118" s="4" t="s">
        <v>241</v>
      </c>
      <c r="BE118" s="4" t="s">
        <v>250</v>
      </c>
      <c r="BF118" s="4" t="s">
        <v>241</v>
      </c>
      <c r="BJ118" s="4" t="s">
        <v>273</v>
      </c>
      <c r="BK118" s="5" t="s">
        <v>274</v>
      </c>
      <c r="BL118" s="4" t="s">
        <v>275</v>
      </c>
      <c r="BM118" s="4" t="s">
        <v>275</v>
      </c>
      <c r="BN118" s="4" t="s">
        <v>241</v>
      </c>
      <c r="BO118" s="6">
        <f>0</f>
        <v>0</v>
      </c>
      <c r="BP118" s="6">
        <f>-640305</f>
        <v>-640305</v>
      </c>
      <c r="BQ118" s="4" t="s">
        <v>255</v>
      </c>
      <c r="BR118" s="4" t="s">
        <v>256</v>
      </c>
      <c r="BS118" s="4" t="s">
        <v>241</v>
      </c>
      <c r="BT118" s="4" t="s">
        <v>241</v>
      </c>
      <c r="BU118" s="4" t="s">
        <v>241</v>
      </c>
      <c r="BV118" s="4" t="s">
        <v>241</v>
      </c>
      <c r="CE118" s="4" t="s">
        <v>256</v>
      </c>
      <c r="CF118" s="4" t="s">
        <v>241</v>
      </c>
      <c r="CG118" s="4" t="s">
        <v>241</v>
      </c>
      <c r="CK118" s="4" t="s">
        <v>276</v>
      </c>
      <c r="CL118" s="4" t="s">
        <v>258</v>
      </c>
      <c r="CM118" s="4" t="s">
        <v>241</v>
      </c>
      <c r="CO118" s="4" t="s">
        <v>429</v>
      </c>
      <c r="CP118" s="5" t="s">
        <v>260</v>
      </c>
      <c r="CQ118" s="4" t="s">
        <v>261</v>
      </c>
      <c r="CR118" s="4" t="s">
        <v>262</v>
      </c>
      <c r="CS118" s="4" t="s">
        <v>278</v>
      </c>
      <c r="CT118" s="4" t="s">
        <v>241</v>
      </c>
      <c r="CU118" s="4">
        <v>3.4000000000000002E-2</v>
      </c>
      <c r="CV118" s="4" t="s">
        <v>298</v>
      </c>
      <c r="CW118" s="4" t="s">
        <v>577</v>
      </c>
      <c r="CX118" s="4" t="s">
        <v>264</v>
      </c>
      <c r="CY118" s="6">
        <f>0</f>
        <v>0</v>
      </c>
      <c r="CZ118" s="6">
        <f>18832500</f>
        <v>18832500</v>
      </c>
      <c r="DA118" s="6">
        <f>1544265</f>
        <v>1544265</v>
      </c>
      <c r="DC118" s="4" t="s">
        <v>241</v>
      </c>
      <c r="DD118" s="4" t="s">
        <v>241</v>
      </c>
      <c r="DF118" s="4" t="s">
        <v>241</v>
      </c>
      <c r="DG118" s="6">
        <f>0</f>
        <v>0</v>
      </c>
      <c r="DI118" s="4" t="s">
        <v>241</v>
      </c>
      <c r="DJ118" s="4" t="s">
        <v>241</v>
      </c>
      <c r="DK118" s="4" t="s">
        <v>241</v>
      </c>
      <c r="DL118" s="4" t="s">
        <v>241</v>
      </c>
      <c r="DM118" s="4" t="s">
        <v>268</v>
      </c>
      <c r="DN118" s="4" t="s">
        <v>269</v>
      </c>
      <c r="DO118" s="6">
        <f>67.5</f>
        <v>67.5</v>
      </c>
      <c r="DP118" s="4" t="s">
        <v>241</v>
      </c>
      <c r="DQ118" s="4" t="s">
        <v>241</v>
      </c>
      <c r="DR118" s="4" t="s">
        <v>241</v>
      </c>
      <c r="DS118" s="4" t="s">
        <v>241</v>
      </c>
      <c r="DV118" s="4" t="s">
        <v>539</v>
      </c>
      <c r="DW118" s="4" t="s">
        <v>579</v>
      </c>
      <c r="GN118" s="4" t="s">
        <v>580</v>
      </c>
      <c r="HO118" s="4" t="s">
        <v>315</v>
      </c>
      <c r="HR118" s="4" t="s">
        <v>269</v>
      </c>
      <c r="HS118" s="4" t="s">
        <v>269</v>
      </c>
      <c r="HT118" s="4" t="s">
        <v>241</v>
      </c>
      <c r="HU118" s="4" t="s">
        <v>241</v>
      </c>
      <c r="HV118" s="4" t="s">
        <v>241</v>
      </c>
      <c r="HW118" s="4" t="s">
        <v>241</v>
      </c>
      <c r="HX118" s="4" t="s">
        <v>241</v>
      </c>
      <c r="HY118" s="4" t="s">
        <v>241</v>
      </c>
      <c r="HZ118" s="4" t="s">
        <v>241</v>
      </c>
      <c r="IA118" s="4" t="s">
        <v>241</v>
      </c>
      <c r="IB118" s="4" t="s">
        <v>241</v>
      </c>
      <c r="IC118" s="4" t="s">
        <v>241</v>
      </c>
      <c r="ID118" s="4" t="s">
        <v>241</v>
      </c>
      <c r="IE118" s="4" t="s">
        <v>241</v>
      </c>
      <c r="IF118" s="4" t="s">
        <v>241</v>
      </c>
    </row>
    <row r="119" spans="1:240" x14ac:dyDescent="0.4">
      <c r="A119" s="4">
        <v>2</v>
      </c>
      <c r="B119" s="4" t="s">
        <v>239</v>
      </c>
      <c r="C119" s="4">
        <v>1217</v>
      </c>
      <c r="D119" s="4">
        <v>1</v>
      </c>
      <c r="E119" s="4">
        <v>3</v>
      </c>
      <c r="F119" s="4" t="s">
        <v>290</v>
      </c>
      <c r="G119" s="4" t="s">
        <v>241</v>
      </c>
      <c r="H119" s="4" t="s">
        <v>241</v>
      </c>
      <c r="I119" s="4" t="s">
        <v>534</v>
      </c>
      <c r="J119" s="4" t="s">
        <v>294</v>
      </c>
      <c r="K119" s="4" t="s">
        <v>249</v>
      </c>
      <c r="L119" s="4" t="s">
        <v>241</v>
      </c>
      <c r="M119" s="5" t="s">
        <v>536</v>
      </c>
      <c r="N119" s="4" t="s">
        <v>614</v>
      </c>
      <c r="O119" s="6">
        <f>0</f>
        <v>0</v>
      </c>
      <c r="P119" s="4" t="s">
        <v>267</v>
      </c>
      <c r="Q119" s="6">
        <f>6260430</f>
        <v>6260430</v>
      </c>
      <c r="R119" s="6">
        <f>6710000</f>
        <v>6710000</v>
      </c>
      <c r="S119" s="5" t="s">
        <v>615</v>
      </c>
      <c r="T119" s="4" t="s">
        <v>322</v>
      </c>
      <c r="U119" s="4" t="s">
        <v>269</v>
      </c>
      <c r="V119" s="6">
        <f>6709999</f>
        <v>6709999</v>
      </c>
      <c r="W119" s="6">
        <f>449570</f>
        <v>449570</v>
      </c>
      <c r="X119" s="4" t="s">
        <v>292</v>
      </c>
      <c r="Y119" s="4" t="s">
        <v>242</v>
      </c>
      <c r="Z119" s="4" t="s">
        <v>241</v>
      </c>
      <c r="AA119" s="4" t="s">
        <v>241</v>
      </c>
      <c r="AD119" s="4" t="s">
        <v>241</v>
      </c>
      <c r="AE119" s="5" t="s">
        <v>241</v>
      </c>
      <c r="AF119" s="5" t="s">
        <v>241</v>
      </c>
      <c r="AH119" s="5" t="s">
        <v>241</v>
      </c>
      <c r="AI119" s="5" t="s">
        <v>244</v>
      </c>
      <c r="AJ119" s="4" t="s">
        <v>245</v>
      </c>
      <c r="AK119" s="4" t="s">
        <v>246</v>
      </c>
      <c r="AQ119" s="4" t="s">
        <v>241</v>
      </c>
      <c r="AR119" s="4" t="s">
        <v>241</v>
      </c>
      <c r="AS119" s="4" t="s">
        <v>241</v>
      </c>
      <c r="AT119" s="5" t="s">
        <v>241</v>
      </c>
      <c r="AU119" s="5" t="s">
        <v>241</v>
      </c>
      <c r="AV119" s="5" t="s">
        <v>241</v>
      </c>
      <c r="AY119" s="4" t="s">
        <v>271</v>
      </c>
      <c r="AZ119" s="4" t="s">
        <v>271</v>
      </c>
      <c r="BA119" s="4" t="s">
        <v>247</v>
      </c>
      <c r="BB119" s="4" t="s">
        <v>272</v>
      </c>
      <c r="BC119" s="4" t="s">
        <v>248</v>
      </c>
      <c r="BD119" s="4" t="s">
        <v>241</v>
      </c>
      <c r="BE119" s="4" t="s">
        <v>250</v>
      </c>
      <c r="BF119" s="4" t="s">
        <v>241</v>
      </c>
      <c r="BJ119" s="4" t="s">
        <v>273</v>
      </c>
      <c r="BK119" s="5" t="s">
        <v>274</v>
      </c>
      <c r="BL119" s="4" t="s">
        <v>275</v>
      </c>
      <c r="BM119" s="4" t="s">
        <v>275</v>
      </c>
      <c r="BN119" s="4" t="s">
        <v>241</v>
      </c>
      <c r="BP119" s="6">
        <f>-449570</f>
        <v>-449570</v>
      </c>
      <c r="BQ119" s="4" t="s">
        <v>255</v>
      </c>
      <c r="BR119" s="4" t="s">
        <v>256</v>
      </c>
      <c r="BS119" s="4" t="s">
        <v>241</v>
      </c>
      <c r="BT119" s="4" t="s">
        <v>241</v>
      </c>
      <c r="BU119" s="4" t="s">
        <v>241</v>
      </c>
      <c r="BV119" s="4" t="s">
        <v>241</v>
      </c>
      <c r="CE119" s="4" t="s">
        <v>256</v>
      </c>
      <c r="CF119" s="4" t="s">
        <v>241</v>
      </c>
      <c r="CG119" s="4" t="s">
        <v>241</v>
      </c>
      <c r="CK119" s="4" t="s">
        <v>276</v>
      </c>
      <c r="CL119" s="4" t="s">
        <v>258</v>
      </c>
      <c r="CM119" s="4" t="s">
        <v>241</v>
      </c>
      <c r="CO119" s="4" t="s">
        <v>616</v>
      </c>
      <c r="CP119" s="5" t="s">
        <v>260</v>
      </c>
      <c r="CQ119" s="4" t="s">
        <v>261</v>
      </c>
      <c r="CR119" s="4" t="s">
        <v>262</v>
      </c>
      <c r="CS119" s="4" t="s">
        <v>278</v>
      </c>
      <c r="CT119" s="4" t="s">
        <v>241</v>
      </c>
      <c r="CU119" s="4">
        <v>6.7000000000000004E-2</v>
      </c>
      <c r="CV119" s="4" t="s">
        <v>298</v>
      </c>
      <c r="CW119" s="4" t="s">
        <v>594</v>
      </c>
      <c r="CX119" s="4" t="s">
        <v>604</v>
      </c>
      <c r="CY119" s="6">
        <f>0</f>
        <v>0</v>
      </c>
      <c r="CZ119" s="6">
        <f>6710000</f>
        <v>6710000</v>
      </c>
      <c r="DA119" s="6">
        <f>1</f>
        <v>1</v>
      </c>
      <c r="DC119" s="4" t="s">
        <v>241</v>
      </c>
      <c r="DD119" s="4" t="s">
        <v>241</v>
      </c>
      <c r="DF119" s="4" t="s">
        <v>241</v>
      </c>
      <c r="DG119" s="6">
        <f>0</f>
        <v>0</v>
      </c>
      <c r="DI119" s="4" t="s">
        <v>241</v>
      </c>
      <c r="DJ119" s="4" t="s">
        <v>241</v>
      </c>
      <c r="DK119" s="4" t="s">
        <v>241</v>
      </c>
      <c r="DL119" s="4" t="s">
        <v>241</v>
      </c>
      <c r="DM119" s="4" t="s">
        <v>269</v>
      </c>
      <c r="DN119" s="4" t="s">
        <v>269</v>
      </c>
      <c r="DO119" s="6" t="s">
        <v>241</v>
      </c>
      <c r="DP119" s="4" t="s">
        <v>241</v>
      </c>
      <c r="DQ119" s="4" t="s">
        <v>241</v>
      </c>
      <c r="DR119" s="4" t="s">
        <v>241</v>
      </c>
      <c r="DS119" s="4" t="s">
        <v>241</v>
      </c>
      <c r="DV119" s="4" t="s">
        <v>539</v>
      </c>
      <c r="DW119" s="4" t="s">
        <v>288</v>
      </c>
      <c r="GN119" s="4" t="s">
        <v>617</v>
      </c>
      <c r="HO119" s="4" t="s">
        <v>304</v>
      </c>
      <c r="HR119" s="4" t="s">
        <v>269</v>
      </c>
      <c r="HS119" s="4" t="s">
        <v>269</v>
      </c>
      <c r="HT119" s="4" t="s">
        <v>241</v>
      </c>
      <c r="HU119" s="4" t="s">
        <v>241</v>
      </c>
      <c r="HV119" s="4" t="s">
        <v>241</v>
      </c>
      <c r="HW119" s="4" t="s">
        <v>241</v>
      </c>
      <c r="HX119" s="4" t="s">
        <v>241</v>
      </c>
      <c r="HY119" s="4" t="s">
        <v>241</v>
      </c>
      <c r="HZ119" s="4" t="s">
        <v>241</v>
      </c>
      <c r="IA119" s="4" t="s">
        <v>241</v>
      </c>
      <c r="IB119" s="4" t="s">
        <v>241</v>
      </c>
      <c r="IC119" s="4" t="s">
        <v>241</v>
      </c>
      <c r="ID119" s="4" t="s">
        <v>241</v>
      </c>
      <c r="IE119" s="4" t="s">
        <v>241</v>
      </c>
      <c r="IF119" s="4" t="s">
        <v>241</v>
      </c>
    </row>
    <row r="120" spans="1:240" x14ac:dyDescent="0.4">
      <c r="A120" s="4">
        <v>2</v>
      </c>
      <c r="B120" s="4" t="s">
        <v>239</v>
      </c>
      <c r="C120" s="4">
        <v>1219</v>
      </c>
      <c r="D120" s="4">
        <v>1</v>
      </c>
      <c r="E120" s="4">
        <v>1</v>
      </c>
      <c r="F120" s="4" t="s">
        <v>240</v>
      </c>
      <c r="G120" s="4" t="s">
        <v>241</v>
      </c>
      <c r="H120" s="4" t="s">
        <v>241</v>
      </c>
      <c r="I120" s="4" t="s">
        <v>668</v>
      </c>
      <c r="J120" s="4" t="s">
        <v>608</v>
      </c>
      <c r="K120" s="4" t="s">
        <v>249</v>
      </c>
      <c r="L120" s="4" t="s">
        <v>621</v>
      </c>
      <c r="M120" s="5" t="s">
        <v>670</v>
      </c>
      <c r="N120" s="4" t="s">
        <v>621</v>
      </c>
      <c r="O120" s="6">
        <f>9.94</f>
        <v>9.94</v>
      </c>
      <c r="P120" s="4" t="s">
        <v>267</v>
      </c>
      <c r="Q120" s="6">
        <f>1</f>
        <v>1</v>
      </c>
      <c r="R120" s="6">
        <f>904540</f>
        <v>904540</v>
      </c>
      <c r="S120" s="5" t="s">
        <v>669</v>
      </c>
      <c r="T120" s="4" t="s">
        <v>322</v>
      </c>
      <c r="U120" s="4" t="s">
        <v>672</v>
      </c>
      <c r="W120" s="6">
        <f>904539</f>
        <v>904539</v>
      </c>
      <c r="X120" s="4" t="s">
        <v>292</v>
      </c>
      <c r="Y120" s="4" t="s">
        <v>242</v>
      </c>
      <c r="Z120" s="4" t="s">
        <v>306</v>
      </c>
      <c r="AA120" s="4" t="s">
        <v>241</v>
      </c>
      <c r="AD120" s="4" t="s">
        <v>241</v>
      </c>
      <c r="AF120" s="5" t="s">
        <v>241</v>
      </c>
      <c r="AI120" s="5" t="s">
        <v>244</v>
      </c>
      <c r="AJ120" s="4" t="s">
        <v>245</v>
      </c>
      <c r="AK120" s="4" t="s">
        <v>246</v>
      </c>
      <c r="BA120" s="4" t="s">
        <v>247</v>
      </c>
      <c r="BB120" s="4" t="s">
        <v>241</v>
      </c>
      <c r="BC120" s="4" t="s">
        <v>248</v>
      </c>
      <c r="BD120" s="4" t="s">
        <v>241</v>
      </c>
      <c r="BE120" s="4" t="s">
        <v>250</v>
      </c>
      <c r="BF120" s="4" t="s">
        <v>241</v>
      </c>
      <c r="BJ120" s="4" t="s">
        <v>399</v>
      </c>
      <c r="BK120" s="5" t="s">
        <v>244</v>
      </c>
      <c r="BL120" s="4" t="s">
        <v>253</v>
      </c>
      <c r="BM120" s="4" t="s">
        <v>254</v>
      </c>
      <c r="BN120" s="4" t="s">
        <v>241</v>
      </c>
      <c r="BO120" s="6">
        <f>0</f>
        <v>0</v>
      </c>
      <c r="BP120" s="6">
        <f>0</f>
        <v>0</v>
      </c>
      <c r="BQ120" s="4" t="s">
        <v>255</v>
      </c>
      <c r="BR120" s="4" t="s">
        <v>256</v>
      </c>
      <c r="CF120" s="4" t="s">
        <v>241</v>
      </c>
      <c r="CG120" s="4" t="s">
        <v>241</v>
      </c>
      <c r="CK120" s="4" t="s">
        <v>276</v>
      </c>
      <c r="CL120" s="4" t="s">
        <v>258</v>
      </c>
      <c r="CM120" s="4" t="s">
        <v>241</v>
      </c>
      <c r="CO120" s="4" t="s">
        <v>671</v>
      </c>
      <c r="CP120" s="5" t="s">
        <v>260</v>
      </c>
      <c r="CQ120" s="4" t="s">
        <v>261</v>
      </c>
      <c r="CR120" s="4" t="s">
        <v>262</v>
      </c>
      <c r="CS120" s="4" t="s">
        <v>241</v>
      </c>
      <c r="CT120" s="4" t="s">
        <v>241</v>
      </c>
      <c r="CU120" s="4">
        <v>0</v>
      </c>
      <c r="CV120" s="4" t="s">
        <v>298</v>
      </c>
      <c r="CW120" s="4" t="s">
        <v>263</v>
      </c>
      <c r="CX120" s="4" t="s">
        <v>321</v>
      </c>
      <c r="CZ120" s="6">
        <f>904540</f>
        <v>904540</v>
      </c>
      <c r="DA120" s="6">
        <f>0</f>
        <v>0</v>
      </c>
      <c r="DC120" s="4" t="s">
        <v>241</v>
      </c>
      <c r="DD120" s="4" t="s">
        <v>241</v>
      </c>
      <c r="DF120" s="4" t="s">
        <v>241</v>
      </c>
      <c r="DI120" s="4" t="s">
        <v>241</v>
      </c>
      <c r="DJ120" s="4" t="s">
        <v>241</v>
      </c>
      <c r="DK120" s="4" t="s">
        <v>241</v>
      </c>
      <c r="DL120" s="4" t="s">
        <v>241</v>
      </c>
      <c r="DM120" s="4" t="s">
        <v>304</v>
      </c>
      <c r="DN120" s="4" t="s">
        <v>269</v>
      </c>
      <c r="DO120" s="6">
        <f>9.94</f>
        <v>9.94</v>
      </c>
      <c r="DP120" s="4" t="s">
        <v>241</v>
      </c>
      <c r="DQ120" s="4" t="s">
        <v>241</v>
      </c>
      <c r="DR120" s="4" t="s">
        <v>241</v>
      </c>
      <c r="DS120" s="4" t="s">
        <v>241</v>
      </c>
      <c r="DV120" s="4" t="s">
        <v>673</v>
      </c>
      <c r="DW120" s="4" t="s">
        <v>289</v>
      </c>
      <c r="HO120" s="4" t="s">
        <v>268</v>
      </c>
      <c r="HR120" s="4" t="s">
        <v>269</v>
      </c>
      <c r="HS120" s="4" t="s">
        <v>269</v>
      </c>
    </row>
    <row r="121" spans="1:240" x14ac:dyDescent="0.4">
      <c r="A121" s="4">
        <v>2</v>
      </c>
      <c r="B121" s="4" t="s">
        <v>239</v>
      </c>
      <c r="C121" s="4">
        <v>1220</v>
      </c>
      <c r="D121" s="4">
        <v>1</v>
      </c>
      <c r="E121" s="4">
        <v>1</v>
      </c>
      <c r="F121" s="4" t="s">
        <v>240</v>
      </c>
      <c r="G121" s="4" t="s">
        <v>241</v>
      </c>
      <c r="H121" s="4" t="s">
        <v>241</v>
      </c>
      <c r="I121" s="4" t="s">
        <v>668</v>
      </c>
      <c r="J121" s="4" t="s">
        <v>608</v>
      </c>
      <c r="K121" s="4" t="s">
        <v>249</v>
      </c>
      <c r="L121" s="4" t="s">
        <v>621</v>
      </c>
      <c r="M121" s="5" t="s">
        <v>670</v>
      </c>
      <c r="N121" s="4" t="s">
        <v>621</v>
      </c>
      <c r="O121" s="6">
        <f>9.93</f>
        <v>9.93</v>
      </c>
      <c r="P121" s="4" t="s">
        <v>267</v>
      </c>
      <c r="Q121" s="6">
        <f>1</f>
        <v>1</v>
      </c>
      <c r="R121" s="6">
        <f>903630</f>
        <v>903630</v>
      </c>
      <c r="S121" s="5" t="s">
        <v>669</v>
      </c>
      <c r="T121" s="4" t="s">
        <v>322</v>
      </c>
      <c r="U121" s="4" t="s">
        <v>672</v>
      </c>
      <c r="W121" s="6">
        <f>903629</f>
        <v>903629</v>
      </c>
      <c r="X121" s="4" t="s">
        <v>292</v>
      </c>
      <c r="Y121" s="4" t="s">
        <v>242</v>
      </c>
      <c r="Z121" s="4" t="s">
        <v>306</v>
      </c>
      <c r="AA121" s="4" t="s">
        <v>241</v>
      </c>
      <c r="AD121" s="4" t="s">
        <v>241</v>
      </c>
      <c r="AF121" s="5" t="s">
        <v>241</v>
      </c>
      <c r="AI121" s="5" t="s">
        <v>244</v>
      </c>
      <c r="AJ121" s="4" t="s">
        <v>245</v>
      </c>
      <c r="AK121" s="4" t="s">
        <v>246</v>
      </c>
      <c r="BA121" s="4" t="s">
        <v>247</v>
      </c>
      <c r="BB121" s="4" t="s">
        <v>241</v>
      </c>
      <c r="BC121" s="4" t="s">
        <v>248</v>
      </c>
      <c r="BD121" s="4" t="s">
        <v>241</v>
      </c>
      <c r="BE121" s="4" t="s">
        <v>250</v>
      </c>
      <c r="BF121" s="4" t="s">
        <v>241</v>
      </c>
      <c r="BJ121" s="4" t="s">
        <v>399</v>
      </c>
      <c r="BK121" s="5" t="s">
        <v>244</v>
      </c>
      <c r="BL121" s="4" t="s">
        <v>253</v>
      </c>
      <c r="BM121" s="4" t="s">
        <v>254</v>
      </c>
      <c r="BN121" s="4" t="s">
        <v>241</v>
      </c>
      <c r="BO121" s="6">
        <f>0</f>
        <v>0</v>
      </c>
      <c r="BP121" s="6">
        <f>0</f>
        <v>0</v>
      </c>
      <c r="BQ121" s="4" t="s">
        <v>255</v>
      </c>
      <c r="BR121" s="4" t="s">
        <v>256</v>
      </c>
      <c r="CF121" s="4" t="s">
        <v>241</v>
      </c>
      <c r="CG121" s="4" t="s">
        <v>241</v>
      </c>
      <c r="CK121" s="4" t="s">
        <v>276</v>
      </c>
      <c r="CL121" s="4" t="s">
        <v>258</v>
      </c>
      <c r="CM121" s="4" t="s">
        <v>241</v>
      </c>
      <c r="CO121" s="4" t="s">
        <v>671</v>
      </c>
      <c r="CP121" s="5" t="s">
        <v>260</v>
      </c>
      <c r="CQ121" s="4" t="s">
        <v>261</v>
      </c>
      <c r="CR121" s="4" t="s">
        <v>262</v>
      </c>
      <c r="CS121" s="4" t="s">
        <v>241</v>
      </c>
      <c r="CT121" s="4" t="s">
        <v>241</v>
      </c>
      <c r="CU121" s="4">
        <v>0</v>
      </c>
      <c r="CV121" s="4" t="s">
        <v>298</v>
      </c>
      <c r="CW121" s="4" t="s">
        <v>263</v>
      </c>
      <c r="CX121" s="4" t="s">
        <v>321</v>
      </c>
      <c r="CZ121" s="6">
        <f>903630</f>
        <v>903630</v>
      </c>
      <c r="DA121" s="6">
        <f>0</f>
        <v>0</v>
      </c>
      <c r="DC121" s="4" t="s">
        <v>241</v>
      </c>
      <c r="DD121" s="4" t="s">
        <v>241</v>
      </c>
      <c r="DF121" s="4" t="s">
        <v>241</v>
      </c>
      <c r="DI121" s="4" t="s">
        <v>241</v>
      </c>
      <c r="DJ121" s="4" t="s">
        <v>241</v>
      </c>
      <c r="DK121" s="4" t="s">
        <v>241</v>
      </c>
      <c r="DL121" s="4" t="s">
        <v>241</v>
      </c>
      <c r="DM121" s="4" t="s">
        <v>304</v>
      </c>
      <c r="DN121" s="4" t="s">
        <v>269</v>
      </c>
      <c r="DO121" s="6">
        <f>9.93</f>
        <v>9.93</v>
      </c>
      <c r="DP121" s="4" t="s">
        <v>241</v>
      </c>
      <c r="DQ121" s="4" t="s">
        <v>241</v>
      </c>
      <c r="DR121" s="4" t="s">
        <v>241</v>
      </c>
      <c r="DS121" s="4" t="s">
        <v>241</v>
      </c>
      <c r="DV121" s="4" t="s">
        <v>673</v>
      </c>
      <c r="DW121" s="4" t="s">
        <v>281</v>
      </c>
      <c r="HO121" s="4" t="s">
        <v>268</v>
      </c>
      <c r="HR121" s="4" t="s">
        <v>269</v>
      </c>
      <c r="HS121" s="4" t="s">
        <v>269</v>
      </c>
    </row>
    <row r="122" spans="1:240" x14ac:dyDescent="0.4">
      <c r="A122" s="4">
        <v>2</v>
      </c>
      <c r="B122" s="4" t="s">
        <v>239</v>
      </c>
      <c r="C122" s="4">
        <v>1221</v>
      </c>
      <c r="D122" s="4">
        <v>1</v>
      </c>
      <c r="E122" s="4">
        <v>1</v>
      </c>
      <c r="F122" s="4" t="s">
        <v>240</v>
      </c>
      <c r="G122" s="4" t="s">
        <v>241</v>
      </c>
      <c r="H122" s="4" t="s">
        <v>241</v>
      </c>
      <c r="I122" s="4" t="s">
        <v>668</v>
      </c>
      <c r="J122" s="4" t="s">
        <v>608</v>
      </c>
      <c r="K122" s="4" t="s">
        <v>249</v>
      </c>
      <c r="L122" s="4" t="s">
        <v>621</v>
      </c>
      <c r="M122" s="5" t="s">
        <v>670</v>
      </c>
      <c r="N122" s="4" t="s">
        <v>621</v>
      </c>
      <c r="O122" s="6">
        <f>6.62</f>
        <v>6.62</v>
      </c>
      <c r="P122" s="4" t="s">
        <v>267</v>
      </c>
      <c r="Q122" s="6">
        <f>1</f>
        <v>1</v>
      </c>
      <c r="R122" s="6">
        <f>602420</f>
        <v>602420</v>
      </c>
      <c r="S122" s="5" t="s">
        <v>669</v>
      </c>
      <c r="T122" s="4" t="s">
        <v>322</v>
      </c>
      <c r="U122" s="4" t="s">
        <v>672</v>
      </c>
      <c r="W122" s="6">
        <f>602419</f>
        <v>602419</v>
      </c>
      <c r="X122" s="4" t="s">
        <v>292</v>
      </c>
      <c r="Y122" s="4" t="s">
        <v>242</v>
      </c>
      <c r="Z122" s="4" t="s">
        <v>306</v>
      </c>
      <c r="AA122" s="4" t="s">
        <v>241</v>
      </c>
      <c r="AD122" s="4" t="s">
        <v>241</v>
      </c>
      <c r="AF122" s="5" t="s">
        <v>241</v>
      </c>
      <c r="AI122" s="5" t="s">
        <v>647</v>
      </c>
      <c r="AJ122" s="4" t="s">
        <v>245</v>
      </c>
      <c r="AK122" s="4" t="s">
        <v>246</v>
      </c>
      <c r="BA122" s="4" t="s">
        <v>247</v>
      </c>
      <c r="BB122" s="4" t="s">
        <v>241</v>
      </c>
      <c r="BC122" s="4" t="s">
        <v>248</v>
      </c>
      <c r="BD122" s="4" t="s">
        <v>241</v>
      </c>
      <c r="BE122" s="4" t="s">
        <v>250</v>
      </c>
      <c r="BF122" s="4" t="s">
        <v>241</v>
      </c>
      <c r="BJ122" s="4" t="s">
        <v>433</v>
      </c>
      <c r="BK122" s="5" t="s">
        <v>647</v>
      </c>
      <c r="BL122" s="4" t="s">
        <v>253</v>
      </c>
      <c r="BM122" s="4" t="s">
        <v>254</v>
      </c>
      <c r="BN122" s="4" t="s">
        <v>241</v>
      </c>
      <c r="BO122" s="6">
        <f>0</f>
        <v>0</v>
      </c>
      <c r="BP122" s="6">
        <f>0</f>
        <v>0</v>
      </c>
      <c r="BQ122" s="4" t="s">
        <v>255</v>
      </c>
      <c r="BR122" s="4" t="s">
        <v>256</v>
      </c>
      <c r="CF122" s="4" t="s">
        <v>241</v>
      </c>
      <c r="CG122" s="4" t="s">
        <v>241</v>
      </c>
      <c r="CK122" s="4" t="s">
        <v>276</v>
      </c>
      <c r="CL122" s="4" t="s">
        <v>258</v>
      </c>
      <c r="CM122" s="4" t="s">
        <v>241</v>
      </c>
      <c r="CO122" s="4" t="s">
        <v>671</v>
      </c>
      <c r="CP122" s="5" t="s">
        <v>260</v>
      </c>
      <c r="CQ122" s="4" t="s">
        <v>261</v>
      </c>
      <c r="CR122" s="4" t="s">
        <v>262</v>
      </c>
      <c r="CS122" s="4" t="s">
        <v>241</v>
      </c>
      <c r="CT122" s="4" t="s">
        <v>241</v>
      </c>
      <c r="CU122" s="4">
        <v>0</v>
      </c>
      <c r="CV122" s="4" t="s">
        <v>298</v>
      </c>
      <c r="CW122" s="4" t="s">
        <v>263</v>
      </c>
      <c r="CX122" s="4" t="s">
        <v>321</v>
      </c>
      <c r="CZ122" s="6">
        <f>602420</f>
        <v>602420</v>
      </c>
      <c r="DA122" s="6">
        <f>0</f>
        <v>0</v>
      </c>
      <c r="DC122" s="4" t="s">
        <v>241</v>
      </c>
      <c r="DD122" s="4" t="s">
        <v>241</v>
      </c>
      <c r="DF122" s="4" t="s">
        <v>241</v>
      </c>
      <c r="DI122" s="4" t="s">
        <v>241</v>
      </c>
      <c r="DJ122" s="4" t="s">
        <v>241</v>
      </c>
      <c r="DK122" s="4" t="s">
        <v>241</v>
      </c>
      <c r="DL122" s="4" t="s">
        <v>241</v>
      </c>
      <c r="DM122" s="4" t="s">
        <v>304</v>
      </c>
      <c r="DN122" s="4" t="s">
        <v>269</v>
      </c>
      <c r="DO122" s="6">
        <f>6.62</f>
        <v>6.62</v>
      </c>
      <c r="DP122" s="4" t="s">
        <v>241</v>
      </c>
      <c r="DQ122" s="4" t="s">
        <v>241</v>
      </c>
      <c r="DR122" s="4" t="s">
        <v>241</v>
      </c>
      <c r="DS122" s="4" t="s">
        <v>241</v>
      </c>
      <c r="DV122" s="4" t="s">
        <v>673</v>
      </c>
      <c r="DW122" s="4" t="s">
        <v>304</v>
      </c>
      <c r="HO122" s="4" t="s">
        <v>268</v>
      </c>
      <c r="HR122" s="4" t="s">
        <v>269</v>
      </c>
      <c r="HS122" s="4" t="s">
        <v>269</v>
      </c>
    </row>
    <row r="123" spans="1:240" x14ac:dyDescent="0.4">
      <c r="A123" s="4">
        <v>2</v>
      </c>
      <c r="B123" s="4" t="s">
        <v>239</v>
      </c>
      <c r="C123" s="4">
        <v>1222</v>
      </c>
      <c r="D123" s="4">
        <v>1</v>
      </c>
      <c r="E123" s="4">
        <v>3</v>
      </c>
      <c r="F123" s="4" t="s">
        <v>290</v>
      </c>
      <c r="G123" s="4" t="s">
        <v>241</v>
      </c>
      <c r="H123" s="4" t="s">
        <v>241</v>
      </c>
      <c r="I123" s="4" t="s">
        <v>668</v>
      </c>
      <c r="J123" s="4" t="s">
        <v>608</v>
      </c>
      <c r="K123" s="4" t="s">
        <v>249</v>
      </c>
      <c r="L123" s="4" t="s">
        <v>241</v>
      </c>
      <c r="M123" s="5" t="s">
        <v>670</v>
      </c>
      <c r="N123" s="4" t="s">
        <v>786</v>
      </c>
      <c r="O123" s="6">
        <f>0</f>
        <v>0</v>
      </c>
      <c r="P123" s="4" t="s">
        <v>267</v>
      </c>
      <c r="Q123" s="6">
        <f>18744344</f>
        <v>18744344</v>
      </c>
      <c r="R123" s="6">
        <f>20090400</f>
        <v>20090400</v>
      </c>
      <c r="S123" s="5" t="s">
        <v>787</v>
      </c>
      <c r="T123" s="4" t="s">
        <v>322</v>
      </c>
      <c r="U123" s="4" t="s">
        <v>269</v>
      </c>
      <c r="V123" s="6">
        <f>1346056</f>
        <v>1346056</v>
      </c>
      <c r="W123" s="6">
        <f>1346056</f>
        <v>1346056</v>
      </c>
      <c r="X123" s="4" t="s">
        <v>292</v>
      </c>
      <c r="Y123" s="4" t="s">
        <v>242</v>
      </c>
      <c r="Z123" s="4" t="s">
        <v>241</v>
      </c>
      <c r="AA123" s="4" t="s">
        <v>241</v>
      </c>
      <c r="AD123" s="4" t="s">
        <v>241</v>
      </c>
      <c r="AE123" s="5" t="s">
        <v>241</v>
      </c>
      <c r="AF123" s="5" t="s">
        <v>241</v>
      </c>
      <c r="AH123" s="5" t="s">
        <v>241</v>
      </c>
      <c r="AI123" s="5" t="s">
        <v>647</v>
      </c>
      <c r="AJ123" s="4" t="s">
        <v>245</v>
      </c>
      <c r="AK123" s="4" t="s">
        <v>246</v>
      </c>
      <c r="AQ123" s="4" t="s">
        <v>241</v>
      </c>
      <c r="AR123" s="4" t="s">
        <v>241</v>
      </c>
      <c r="AS123" s="4" t="s">
        <v>241</v>
      </c>
      <c r="AT123" s="5" t="s">
        <v>241</v>
      </c>
      <c r="AU123" s="5" t="s">
        <v>241</v>
      </c>
      <c r="AV123" s="5" t="s">
        <v>241</v>
      </c>
      <c r="AY123" s="4" t="s">
        <v>271</v>
      </c>
      <c r="AZ123" s="4" t="s">
        <v>271</v>
      </c>
      <c r="BA123" s="4" t="s">
        <v>247</v>
      </c>
      <c r="BB123" s="4" t="s">
        <v>272</v>
      </c>
      <c r="BC123" s="4" t="s">
        <v>248</v>
      </c>
      <c r="BD123" s="4" t="s">
        <v>241</v>
      </c>
      <c r="BE123" s="4" t="s">
        <v>250</v>
      </c>
      <c r="BF123" s="4" t="s">
        <v>241</v>
      </c>
      <c r="BJ123" s="4" t="s">
        <v>273</v>
      </c>
      <c r="BK123" s="5" t="s">
        <v>274</v>
      </c>
      <c r="BL123" s="4" t="s">
        <v>275</v>
      </c>
      <c r="BM123" s="4" t="s">
        <v>275</v>
      </c>
      <c r="BN123" s="4" t="s">
        <v>241</v>
      </c>
      <c r="BP123" s="6">
        <f>-1346056</f>
        <v>-1346056</v>
      </c>
      <c r="BQ123" s="4" t="s">
        <v>255</v>
      </c>
      <c r="BR123" s="4" t="s">
        <v>256</v>
      </c>
      <c r="BS123" s="4" t="s">
        <v>241</v>
      </c>
      <c r="BT123" s="4" t="s">
        <v>241</v>
      </c>
      <c r="BU123" s="4" t="s">
        <v>241</v>
      </c>
      <c r="BV123" s="4" t="s">
        <v>241</v>
      </c>
      <c r="CE123" s="4" t="s">
        <v>256</v>
      </c>
      <c r="CF123" s="4" t="s">
        <v>241</v>
      </c>
      <c r="CG123" s="4" t="s">
        <v>241</v>
      </c>
      <c r="CK123" s="4" t="s">
        <v>276</v>
      </c>
      <c r="CL123" s="4" t="s">
        <v>258</v>
      </c>
      <c r="CM123" s="4" t="s">
        <v>241</v>
      </c>
      <c r="CO123" s="4" t="s">
        <v>616</v>
      </c>
      <c r="CP123" s="5" t="s">
        <v>260</v>
      </c>
      <c r="CQ123" s="4" t="s">
        <v>261</v>
      </c>
      <c r="CR123" s="4" t="s">
        <v>262</v>
      </c>
      <c r="CS123" s="4" t="s">
        <v>278</v>
      </c>
      <c r="CT123" s="4" t="s">
        <v>241</v>
      </c>
      <c r="CU123" s="4">
        <v>6.7000000000000004E-2</v>
      </c>
      <c r="CV123" s="4" t="s">
        <v>298</v>
      </c>
      <c r="CW123" s="4" t="s">
        <v>299</v>
      </c>
      <c r="CX123" s="4" t="s">
        <v>321</v>
      </c>
      <c r="CY123" s="6">
        <f>0</f>
        <v>0</v>
      </c>
      <c r="CZ123" s="6">
        <f>20090400</f>
        <v>20090400</v>
      </c>
      <c r="DA123" s="6">
        <f>14706176</f>
        <v>14706176</v>
      </c>
      <c r="DC123" s="4" t="s">
        <v>241</v>
      </c>
      <c r="DD123" s="4" t="s">
        <v>241</v>
      </c>
      <c r="DF123" s="4" t="s">
        <v>241</v>
      </c>
      <c r="DG123" s="6">
        <f>0</f>
        <v>0</v>
      </c>
      <c r="DI123" s="4" t="s">
        <v>241</v>
      </c>
      <c r="DJ123" s="4" t="s">
        <v>241</v>
      </c>
      <c r="DK123" s="4" t="s">
        <v>241</v>
      </c>
      <c r="DL123" s="4" t="s">
        <v>241</v>
      </c>
      <c r="DM123" s="4" t="s">
        <v>269</v>
      </c>
      <c r="DN123" s="4" t="s">
        <v>269</v>
      </c>
      <c r="DO123" s="6" t="s">
        <v>241</v>
      </c>
      <c r="DP123" s="4" t="s">
        <v>241</v>
      </c>
      <c r="DQ123" s="4" t="s">
        <v>241</v>
      </c>
      <c r="DR123" s="4" t="s">
        <v>241</v>
      </c>
      <c r="DS123" s="4" t="s">
        <v>241</v>
      </c>
      <c r="DV123" s="4" t="s">
        <v>673</v>
      </c>
      <c r="DW123" s="4" t="s">
        <v>330</v>
      </c>
      <c r="GN123" s="4" t="s">
        <v>788</v>
      </c>
      <c r="HO123" s="4" t="s">
        <v>289</v>
      </c>
      <c r="HR123" s="4" t="s">
        <v>269</v>
      </c>
      <c r="HS123" s="4" t="s">
        <v>269</v>
      </c>
      <c r="HT123" s="4" t="s">
        <v>241</v>
      </c>
      <c r="HU123" s="4" t="s">
        <v>241</v>
      </c>
      <c r="HV123" s="4" t="s">
        <v>241</v>
      </c>
      <c r="HW123" s="4" t="s">
        <v>241</v>
      </c>
      <c r="HX123" s="4" t="s">
        <v>241</v>
      </c>
      <c r="HY123" s="4" t="s">
        <v>241</v>
      </c>
      <c r="HZ123" s="4" t="s">
        <v>241</v>
      </c>
      <c r="IA123" s="4" t="s">
        <v>241</v>
      </c>
      <c r="IB123" s="4" t="s">
        <v>241</v>
      </c>
      <c r="IC123" s="4" t="s">
        <v>241</v>
      </c>
      <c r="ID123" s="4" t="s">
        <v>241</v>
      </c>
      <c r="IE123" s="4" t="s">
        <v>241</v>
      </c>
      <c r="IF123" s="4" t="s">
        <v>241</v>
      </c>
    </row>
    <row r="124" spans="1:240" x14ac:dyDescent="0.4">
      <c r="A124" s="4">
        <v>2</v>
      </c>
      <c r="B124" s="4" t="s">
        <v>239</v>
      </c>
      <c r="C124" s="4">
        <v>1223</v>
      </c>
      <c r="D124" s="4">
        <v>1</v>
      </c>
      <c r="E124" s="4">
        <v>3</v>
      </c>
      <c r="F124" s="4" t="s">
        <v>240</v>
      </c>
      <c r="G124" s="4" t="s">
        <v>241</v>
      </c>
      <c r="H124" s="4" t="s">
        <v>241</v>
      </c>
      <c r="I124" s="4" t="s">
        <v>645</v>
      </c>
      <c r="J124" s="4" t="s">
        <v>608</v>
      </c>
      <c r="K124" s="4" t="s">
        <v>249</v>
      </c>
      <c r="L124" s="4" t="s">
        <v>648</v>
      </c>
      <c r="M124" s="5" t="s">
        <v>649</v>
      </c>
      <c r="N124" s="4" t="s">
        <v>644</v>
      </c>
      <c r="O124" s="6">
        <f>39</f>
        <v>39</v>
      </c>
      <c r="P124" s="4" t="s">
        <v>267</v>
      </c>
      <c r="Q124" s="6">
        <f>1904370</f>
        <v>1904370</v>
      </c>
      <c r="R124" s="6">
        <f>3705000</f>
        <v>3705000</v>
      </c>
      <c r="S124" s="5" t="s">
        <v>646</v>
      </c>
      <c r="T124" s="4" t="s">
        <v>300</v>
      </c>
      <c r="U124" s="4" t="s">
        <v>533</v>
      </c>
      <c r="V124" s="6">
        <f>100035</f>
        <v>100035</v>
      </c>
      <c r="W124" s="6">
        <f>1800630</f>
        <v>1800630</v>
      </c>
      <c r="X124" s="4" t="s">
        <v>292</v>
      </c>
      <c r="Y124" s="4" t="s">
        <v>242</v>
      </c>
      <c r="Z124" s="4" t="s">
        <v>306</v>
      </c>
      <c r="AA124" s="4" t="s">
        <v>241</v>
      </c>
      <c r="AD124" s="4" t="s">
        <v>241</v>
      </c>
      <c r="AE124" s="5" t="s">
        <v>241</v>
      </c>
      <c r="AF124" s="5" t="s">
        <v>241</v>
      </c>
      <c r="AH124" s="5" t="s">
        <v>241</v>
      </c>
      <c r="AI124" s="5" t="s">
        <v>647</v>
      </c>
      <c r="AJ124" s="4" t="s">
        <v>245</v>
      </c>
      <c r="AK124" s="4" t="s">
        <v>246</v>
      </c>
      <c r="AQ124" s="4" t="s">
        <v>241</v>
      </c>
      <c r="AR124" s="4" t="s">
        <v>241</v>
      </c>
      <c r="AS124" s="4" t="s">
        <v>241</v>
      </c>
      <c r="AT124" s="5" t="s">
        <v>241</v>
      </c>
      <c r="AU124" s="5" t="s">
        <v>241</v>
      </c>
      <c r="AV124" s="5" t="s">
        <v>241</v>
      </c>
      <c r="AY124" s="4" t="s">
        <v>271</v>
      </c>
      <c r="AZ124" s="4" t="s">
        <v>271</v>
      </c>
      <c r="BA124" s="4" t="s">
        <v>247</v>
      </c>
      <c r="BB124" s="4" t="s">
        <v>272</v>
      </c>
      <c r="BC124" s="4" t="s">
        <v>248</v>
      </c>
      <c r="BD124" s="4" t="s">
        <v>241</v>
      </c>
      <c r="BE124" s="4" t="s">
        <v>250</v>
      </c>
      <c r="BF124" s="4" t="s">
        <v>241</v>
      </c>
      <c r="BJ124" s="4" t="s">
        <v>273</v>
      </c>
      <c r="BK124" s="5" t="s">
        <v>274</v>
      </c>
      <c r="BL124" s="4" t="s">
        <v>275</v>
      </c>
      <c r="BM124" s="4" t="s">
        <v>275</v>
      </c>
      <c r="BN124" s="4" t="s">
        <v>241</v>
      </c>
      <c r="BO124" s="6">
        <f>0</f>
        <v>0</v>
      </c>
      <c r="BP124" s="6">
        <f>-100035</f>
        <v>-100035</v>
      </c>
      <c r="BQ124" s="4" t="s">
        <v>255</v>
      </c>
      <c r="BR124" s="4" t="s">
        <v>256</v>
      </c>
      <c r="BS124" s="4" t="s">
        <v>241</v>
      </c>
      <c r="BT124" s="4" t="s">
        <v>241</v>
      </c>
      <c r="BU124" s="4" t="s">
        <v>241</v>
      </c>
      <c r="BV124" s="4" t="s">
        <v>241</v>
      </c>
      <c r="CE124" s="4" t="s">
        <v>256</v>
      </c>
      <c r="CF124" s="4" t="s">
        <v>241</v>
      </c>
      <c r="CG124" s="4" t="s">
        <v>241</v>
      </c>
      <c r="CK124" s="4" t="s">
        <v>276</v>
      </c>
      <c r="CL124" s="4" t="s">
        <v>258</v>
      </c>
      <c r="CM124" s="4" t="s">
        <v>241</v>
      </c>
      <c r="CO124" s="4" t="s">
        <v>650</v>
      </c>
      <c r="CP124" s="5" t="s">
        <v>260</v>
      </c>
      <c r="CQ124" s="4" t="s">
        <v>261</v>
      </c>
      <c r="CR124" s="4" t="s">
        <v>262</v>
      </c>
      <c r="CS124" s="4" t="s">
        <v>278</v>
      </c>
      <c r="CT124" s="4" t="s">
        <v>241</v>
      </c>
      <c r="CU124" s="4">
        <v>2.7E-2</v>
      </c>
      <c r="CV124" s="4" t="s">
        <v>298</v>
      </c>
      <c r="CW124" s="4" t="s">
        <v>263</v>
      </c>
      <c r="CX124" s="4" t="s">
        <v>279</v>
      </c>
      <c r="CY124" s="6">
        <f>0</f>
        <v>0</v>
      </c>
      <c r="CZ124" s="6">
        <f>3705000</f>
        <v>3705000</v>
      </c>
      <c r="DA124" s="6">
        <f>1904370</f>
        <v>1904370</v>
      </c>
      <c r="DC124" s="4" t="s">
        <v>241</v>
      </c>
      <c r="DD124" s="4" t="s">
        <v>241</v>
      </c>
      <c r="DF124" s="4" t="s">
        <v>241</v>
      </c>
      <c r="DG124" s="6">
        <f>0</f>
        <v>0</v>
      </c>
      <c r="DI124" s="4" t="s">
        <v>241</v>
      </c>
      <c r="DJ124" s="4" t="s">
        <v>241</v>
      </c>
      <c r="DK124" s="4" t="s">
        <v>241</v>
      </c>
      <c r="DL124" s="4" t="s">
        <v>241</v>
      </c>
      <c r="DM124" s="4" t="s">
        <v>268</v>
      </c>
      <c r="DN124" s="4" t="s">
        <v>269</v>
      </c>
      <c r="DO124" s="6">
        <f>39</f>
        <v>39</v>
      </c>
      <c r="DP124" s="4" t="s">
        <v>241</v>
      </c>
      <c r="DQ124" s="4" t="s">
        <v>241</v>
      </c>
      <c r="DR124" s="4" t="s">
        <v>241</v>
      </c>
      <c r="DS124" s="4" t="s">
        <v>241</v>
      </c>
      <c r="DV124" s="4" t="s">
        <v>651</v>
      </c>
      <c r="DW124" s="4" t="s">
        <v>268</v>
      </c>
      <c r="GN124" s="4" t="s">
        <v>652</v>
      </c>
      <c r="HO124" s="4" t="s">
        <v>282</v>
      </c>
      <c r="HR124" s="4" t="s">
        <v>269</v>
      </c>
      <c r="HS124" s="4" t="s">
        <v>269</v>
      </c>
      <c r="HT124" s="4" t="s">
        <v>241</v>
      </c>
      <c r="HU124" s="4" t="s">
        <v>241</v>
      </c>
      <c r="HV124" s="4" t="s">
        <v>241</v>
      </c>
      <c r="HW124" s="4" t="s">
        <v>241</v>
      </c>
      <c r="HX124" s="4" t="s">
        <v>241</v>
      </c>
      <c r="HY124" s="4" t="s">
        <v>241</v>
      </c>
      <c r="HZ124" s="4" t="s">
        <v>241</v>
      </c>
      <c r="IA124" s="4" t="s">
        <v>241</v>
      </c>
      <c r="IB124" s="4" t="s">
        <v>241</v>
      </c>
      <c r="IC124" s="4" t="s">
        <v>241</v>
      </c>
      <c r="ID124" s="4" t="s">
        <v>241</v>
      </c>
      <c r="IE124" s="4" t="s">
        <v>241</v>
      </c>
      <c r="IF124" s="4" t="s">
        <v>241</v>
      </c>
    </row>
    <row r="125" spans="1:240" x14ac:dyDescent="0.4">
      <c r="A125" s="4">
        <v>2</v>
      </c>
      <c r="B125" s="4" t="s">
        <v>239</v>
      </c>
      <c r="C125" s="4">
        <v>1224</v>
      </c>
      <c r="D125" s="4">
        <v>1</v>
      </c>
      <c r="E125" s="4">
        <v>3</v>
      </c>
      <c r="F125" s="4" t="s">
        <v>240</v>
      </c>
      <c r="G125" s="4" t="s">
        <v>241</v>
      </c>
      <c r="H125" s="4" t="s">
        <v>241</v>
      </c>
      <c r="I125" s="4" t="s">
        <v>645</v>
      </c>
      <c r="J125" s="4" t="s">
        <v>608</v>
      </c>
      <c r="K125" s="4" t="s">
        <v>249</v>
      </c>
      <c r="L125" s="4" t="s">
        <v>648</v>
      </c>
      <c r="M125" s="5" t="s">
        <v>649</v>
      </c>
      <c r="N125" s="4" t="s">
        <v>644</v>
      </c>
      <c r="O125" s="6">
        <f>31.2</f>
        <v>31.2</v>
      </c>
      <c r="P125" s="4" t="s">
        <v>267</v>
      </c>
      <c r="Q125" s="6">
        <f>723216</f>
        <v>723216</v>
      </c>
      <c r="R125" s="6">
        <f>2964000</f>
        <v>2964000</v>
      </c>
      <c r="S125" s="5" t="s">
        <v>646</v>
      </c>
      <c r="T125" s="4" t="s">
        <v>265</v>
      </c>
      <c r="U125" s="4" t="s">
        <v>533</v>
      </c>
      <c r="V125" s="6">
        <f>124488</f>
        <v>124488</v>
      </c>
      <c r="W125" s="6">
        <f>2240784</f>
        <v>2240784</v>
      </c>
      <c r="X125" s="4" t="s">
        <v>292</v>
      </c>
      <c r="Y125" s="4" t="s">
        <v>242</v>
      </c>
      <c r="Z125" s="4" t="s">
        <v>306</v>
      </c>
      <c r="AA125" s="4" t="s">
        <v>241</v>
      </c>
      <c r="AD125" s="4" t="s">
        <v>241</v>
      </c>
      <c r="AE125" s="5" t="s">
        <v>241</v>
      </c>
      <c r="AF125" s="5" t="s">
        <v>241</v>
      </c>
      <c r="AH125" s="5" t="s">
        <v>241</v>
      </c>
      <c r="AI125" s="5" t="s">
        <v>662</v>
      </c>
      <c r="AJ125" s="4" t="s">
        <v>245</v>
      </c>
      <c r="AK125" s="4" t="s">
        <v>246</v>
      </c>
      <c r="AQ125" s="4" t="s">
        <v>241</v>
      </c>
      <c r="AR125" s="4" t="s">
        <v>241</v>
      </c>
      <c r="AS125" s="4" t="s">
        <v>241</v>
      </c>
      <c r="AT125" s="5" t="s">
        <v>241</v>
      </c>
      <c r="AU125" s="5" t="s">
        <v>241</v>
      </c>
      <c r="AV125" s="5" t="s">
        <v>241</v>
      </c>
      <c r="AY125" s="4" t="s">
        <v>271</v>
      </c>
      <c r="AZ125" s="4" t="s">
        <v>271</v>
      </c>
      <c r="BA125" s="4" t="s">
        <v>247</v>
      </c>
      <c r="BB125" s="4" t="s">
        <v>272</v>
      </c>
      <c r="BC125" s="4" t="s">
        <v>248</v>
      </c>
      <c r="BD125" s="4" t="s">
        <v>241</v>
      </c>
      <c r="BE125" s="4" t="s">
        <v>250</v>
      </c>
      <c r="BF125" s="4" t="s">
        <v>241</v>
      </c>
      <c r="BJ125" s="4" t="s">
        <v>273</v>
      </c>
      <c r="BK125" s="5" t="s">
        <v>274</v>
      </c>
      <c r="BL125" s="4" t="s">
        <v>275</v>
      </c>
      <c r="BM125" s="4" t="s">
        <v>275</v>
      </c>
      <c r="BN125" s="4" t="s">
        <v>241</v>
      </c>
      <c r="BO125" s="6">
        <f>0</f>
        <v>0</v>
      </c>
      <c r="BP125" s="6">
        <f>-124488</f>
        <v>-124488</v>
      </c>
      <c r="BQ125" s="4" t="s">
        <v>255</v>
      </c>
      <c r="BR125" s="4" t="s">
        <v>256</v>
      </c>
      <c r="BS125" s="4" t="s">
        <v>241</v>
      </c>
      <c r="BT125" s="4" t="s">
        <v>241</v>
      </c>
      <c r="BU125" s="4" t="s">
        <v>241</v>
      </c>
      <c r="BV125" s="4" t="s">
        <v>241</v>
      </c>
      <c r="CE125" s="4" t="s">
        <v>256</v>
      </c>
      <c r="CF125" s="4" t="s">
        <v>241</v>
      </c>
      <c r="CG125" s="4" t="s">
        <v>241</v>
      </c>
      <c r="CK125" s="4" t="s">
        <v>276</v>
      </c>
      <c r="CL125" s="4" t="s">
        <v>258</v>
      </c>
      <c r="CM125" s="4" t="s">
        <v>241</v>
      </c>
      <c r="CO125" s="4" t="s">
        <v>650</v>
      </c>
      <c r="CP125" s="5" t="s">
        <v>260</v>
      </c>
      <c r="CQ125" s="4" t="s">
        <v>261</v>
      </c>
      <c r="CR125" s="4" t="s">
        <v>262</v>
      </c>
      <c r="CS125" s="4" t="s">
        <v>278</v>
      </c>
      <c r="CT125" s="4" t="s">
        <v>241</v>
      </c>
      <c r="CU125" s="4">
        <v>4.2000000000000003E-2</v>
      </c>
      <c r="CV125" s="4" t="s">
        <v>298</v>
      </c>
      <c r="CW125" s="4" t="s">
        <v>263</v>
      </c>
      <c r="CX125" s="4" t="s">
        <v>264</v>
      </c>
      <c r="CY125" s="6">
        <f>0</f>
        <v>0</v>
      </c>
      <c r="CZ125" s="6">
        <f>2964000</f>
        <v>2964000</v>
      </c>
      <c r="DA125" s="6">
        <f>723216</f>
        <v>723216</v>
      </c>
      <c r="DC125" s="4" t="s">
        <v>241</v>
      </c>
      <c r="DD125" s="4" t="s">
        <v>241</v>
      </c>
      <c r="DF125" s="4" t="s">
        <v>241</v>
      </c>
      <c r="DG125" s="6">
        <f>0</f>
        <v>0</v>
      </c>
      <c r="DI125" s="4" t="s">
        <v>241</v>
      </c>
      <c r="DJ125" s="4" t="s">
        <v>241</v>
      </c>
      <c r="DK125" s="4" t="s">
        <v>241</v>
      </c>
      <c r="DL125" s="4" t="s">
        <v>241</v>
      </c>
      <c r="DM125" s="4" t="s">
        <v>268</v>
      </c>
      <c r="DN125" s="4" t="s">
        <v>269</v>
      </c>
      <c r="DO125" s="6">
        <f>31.2</f>
        <v>31.2</v>
      </c>
      <c r="DP125" s="4" t="s">
        <v>241</v>
      </c>
      <c r="DQ125" s="4" t="s">
        <v>241</v>
      </c>
      <c r="DR125" s="4" t="s">
        <v>241</v>
      </c>
      <c r="DS125" s="4" t="s">
        <v>241</v>
      </c>
      <c r="DV125" s="4" t="s">
        <v>651</v>
      </c>
      <c r="DW125" s="4" t="s">
        <v>289</v>
      </c>
      <c r="GN125" s="4" t="s">
        <v>667</v>
      </c>
      <c r="HO125" s="4" t="s">
        <v>282</v>
      </c>
      <c r="HR125" s="4" t="s">
        <v>269</v>
      </c>
      <c r="HS125" s="4" t="s">
        <v>269</v>
      </c>
      <c r="HT125" s="4" t="s">
        <v>241</v>
      </c>
      <c r="HU125" s="4" t="s">
        <v>241</v>
      </c>
      <c r="HV125" s="4" t="s">
        <v>241</v>
      </c>
      <c r="HW125" s="4" t="s">
        <v>241</v>
      </c>
      <c r="HX125" s="4" t="s">
        <v>241</v>
      </c>
      <c r="HY125" s="4" t="s">
        <v>241</v>
      </c>
      <c r="HZ125" s="4" t="s">
        <v>241</v>
      </c>
      <c r="IA125" s="4" t="s">
        <v>241</v>
      </c>
      <c r="IB125" s="4" t="s">
        <v>241</v>
      </c>
      <c r="IC125" s="4" t="s">
        <v>241</v>
      </c>
      <c r="ID125" s="4" t="s">
        <v>241</v>
      </c>
      <c r="IE125" s="4" t="s">
        <v>241</v>
      </c>
      <c r="IF125" s="4" t="s">
        <v>241</v>
      </c>
    </row>
    <row r="126" spans="1:240" x14ac:dyDescent="0.4">
      <c r="A126" s="4">
        <v>2</v>
      </c>
      <c r="B126" s="4" t="s">
        <v>239</v>
      </c>
      <c r="C126" s="4">
        <v>1225</v>
      </c>
      <c r="D126" s="4">
        <v>1</v>
      </c>
      <c r="E126" s="4">
        <v>3</v>
      </c>
      <c r="F126" s="4" t="s">
        <v>240</v>
      </c>
      <c r="G126" s="4" t="s">
        <v>241</v>
      </c>
      <c r="H126" s="4" t="s">
        <v>241</v>
      </c>
      <c r="I126" s="4" t="s">
        <v>645</v>
      </c>
      <c r="J126" s="4" t="s">
        <v>608</v>
      </c>
      <c r="K126" s="4" t="s">
        <v>249</v>
      </c>
      <c r="L126" s="4" t="s">
        <v>648</v>
      </c>
      <c r="M126" s="5" t="s">
        <v>649</v>
      </c>
      <c r="N126" s="4" t="s">
        <v>644</v>
      </c>
      <c r="O126" s="6">
        <f>31.2</f>
        <v>31.2</v>
      </c>
      <c r="P126" s="4" t="s">
        <v>267</v>
      </c>
      <c r="Q126" s="6">
        <f>723216</f>
        <v>723216</v>
      </c>
      <c r="R126" s="6">
        <f>2964000</f>
        <v>2964000</v>
      </c>
      <c r="S126" s="5" t="s">
        <v>646</v>
      </c>
      <c r="T126" s="4" t="s">
        <v>265</v>
      </c>
      <c r="U126" s="4" t="s">
        <v>533</v>
      </c>
      <c r="V126" s="6">
        <f>124488</f>
        <v>124488</v>
      </c>
      <c r="W126" s="6">
        <f>2240784</f>
        <v>2240784</v>
      </c>
      <c r="X126" s="4" t="s">
        <v>292</v>
      </c>
      <c r="Y126" s="4" t="s">
        <v>242</v>
      </c>
      <c r="Z126" s="4" t="s">
        <v>306</v>
      </c>
      <c r="AA126" s="4" t="s">
        <v>241</v>
      </c>
      <c r="AD126" s="4" t="s">
        <v>241</v>
      </c>
      <c r="AE126" s="5" t="s">
        <v>241</v>
      </c>
      <c r="AF126" s="5" t="s">
        <v>241</v>
      </c>
      <c r="AH126" s="5" t="s">
        <v>241</v>
      </c>
      <c r="AI126" s="5" t="s">
        <v>662</v>
      </c>
      <c r="AJ126" s="4" t="s">
        <v>245</v>
      </c>
      <c r="AK126" s="4" t="s">
        <v>246</v>
      </c>
      <c r="AQ126" s="4" t="s">
        <v>241</v>
      </c>
      <c r="AR126" s="4" t="s">
        <v>241</v>
      </c>
      <c r="AS126" s="4" t="s">
        <v>241</v>
      </c>
      <c r="AT126" s="5" t="s">
        <v>241</v>
      </c>
      <c r="AU126" s="5" t="s">
        <v>241</v>
      </c>
      <c r="AV126" s="5" t="s">
        <v>241</v>
      </c>
      <c r="AY126" s="4" t="s">
        <v>271</v>
      </c>
      <c r="AZ126" s="4" t="s">
        <v>271</v>
      </c>
      <c r="BA126" s="4" t="s">
        <v>247</v>
      </c>
      <c r="BB126" s="4" t="s">
        <v>272</v>
      </c>
      <c r="BC126" s="4" t="s">
        <v>248</v>
      </c>
      <c r="BD126" s="4" t="s">
        <v>241</v>
      </c>
      <c r="BE126" s="4" t="s">
        <v>250</v>
      </c>
      <c r="BF126" s="4" t="s">
        <v>241</v>
      </c>
      <c r="BJ126" s="4" t="s">
        <v>273</v>
      </c>
      <c r="BK126" s="5" t="s">
        <v>274</v>
      </c>
      <c r="BL126" s="4" t="s">
        <v>275</v>
      </c>
      <c r="BM126" s="4" t="s">
        <v>275</v>
      </c>
      <c r="BN126" s="4" t="s">
        <v>241</v>
      </c>
      <c r="BO126" s="6">
        <f>0</f>
        <v>0</v>
      </c>
      <c r="BP126" s="6">
        <f>-124488</f>
        <v>-124488</v>
      </c>
      <c r="BQ126" s="4" t="s">
        <v>255</v>
      </c>
      <c r="BR126" s="4" t="s">
        <v>256</v>
      </c>
      <c r="BS126" s="4" t="s">
        <v>241</v>
      </c>
      <c r="BT126" s="4" t="s">
        <v>241</v>
      </c>
      <c r="BU126" s="4" t="s">
        <v>241</v>
      </c>
      <c r="BV126" s="4" t="s">
        <v>241</v>
      </c>
      <c r="CE126" s="4" t="s">
        <v>256</v>
      </c>
      <c r="CF126" s="4" t="s">
        <v>241</v>
      </c>
      <c r="CG126" s="4" t="s">
        <v>241</v>
      </c>
      <c r="CK126" s="4" t="s">
        <v>276</v>
      </c>
      <c r="CL126" s="4" t="s">
        <v>258</v>
      </c>
      <c r="CM126" s="4" t="s">
        <v>241</v>
      </c>
      <c r="CO126" s="4" t="s">
        <v>650</v>
      </c>
      <c r="CP126" s="5" t="s">
        <v>260</v>
      </c>
      <c r="CQ126" s="4" t="s">
        <v>261</v>
      </c>
      <c r="CR126" s="4" t="s">
        <v>262</v>
      </c>
      <c r="CS126" s="4" t="s">
        <v>278</v>
      </c>
      <c r="CT126" s="4" t="s">
        <v>241</v>
      </c>
      <c r="CU126" s="4">
        <v>4.2000000000000003E-2</v>
      </c>
      <c r="CV126" s="4" t="s">
        <v>298</v>
      </c>
      <c r="CW126" s="4" t="s">
        <v>263</v>
      </c>
      <c r="CX126" s="4" t="s">
        <v>264</v>
      </c>
      <c r="CY126" s="6">
        <f>0</f>
        <v>0</v>
      </c>
      <c r="CZ126" s="6">
        <f>2964000</f>
        <v>2964000</v>
      </c>
      <c r="DA126" s="6">
        <f>723216</f>
        <v>723216</v>
      </c>
      <c r="DC126" s="4" t="s">
        <v>241</v>
      </c>
      <c r="DD126" s="4" t="s">
        <v>241</v>
      </c>
      <c r="DF126" s="4" t="s">
        <v>241</v>
      </c>
      <c r="DG126" s="6">
        <f>0</f>
        <v>0</v>
      </c>
      <c r="DI126" s="4" t="s">
        <v>241</v>
      </c>
      <c r="DJ126" s="4" t="s">
        <v>241</v>
      </c>
      <c r="DK126" s="4" t="s">
        <v>241</v>
      </c>
      <c r="DL126" s="4" t="s">
        <v>241</v>
      </c>
      <c r="DM126" s="4" t="s">
        <v>268</v>
      </c>
      <c r="DN126" s="4" t="s">
        <v>269</v>
      </c>
      <c r="DO126" s="6">
        <f>31.2</f>
        <v>31.2</v>
      </c>
      <c r="DP126" s="4" t="s">
        <v>241</v>
      </c>
      <c r="DQ126" s="4" t="s">
        <v>241</v>
      </c>
      <c r="DR126" s="4" t="s">
        <v>241</v>
      </c>
      <c r="DS126" s="4" t="s">
        <v>241</v>
      </c>
      <c r="DV126" s="4" t="s">
        <v>651</v>
      </c>
      <c r="DW126" s="4" t="s">
        <v>281</v>
      </c>
      <c r="GN126" s="4" t="s">
        <v>663</v>
      </c>
      <c r="HO126" s="4" t="s">
        <v>282</v>
      </c>
      <c r="HR126" s="4" t="s">
        <v>269</v>
      </c>
      <c r="HS126" s="4" t="s">
        <v>269</v>
      </c>
      <c r="HT126" s="4" t="s">
        <v>241</v>
      </c>
      <c r="HU126" s="4" t="s">
        <v>241</v>
      </c>
      <c r="HV126" s="4" t="s">
        <v>241</v>
      </c>
      <c r="HW126" s="4" t="s">
        <v>241</v>
      </c>
      <c r="HX126" s="4" t="s">
        <v>241</v>
      </c>
      <c r="HY126" s="4" t="s">
        <v>241</v>
      </c>
      <c r="HZ126" s="4" t="s">
        <v>241</v>
      </c>
      <c r="IA126" s="4" t="s">
        <v>241</v>
      </c>
      <c r="IB126" s="4" t="s">
        <v>241</v>
      </c>
      <c r="IC126" s="4" t="s">
        <v>241</v>
      </c>
      <c r="ID126" s="4" t="s">
        <v>241</v>
      </c>
      <c r="IE126" s="4" t="s">
        <v>241</v>
      </c>
      <c r="IF126" s="4" t="s">
        <v>241</v>
      </c>
    </row>
    <row r="127" spans="1:240" x14ac:dyDescent="0.4">
      <c r="A127" s="4">
        <v>2</v>
      </c>
      <c r="B127" s="4" t="s">
        <v>239</v>
      </c>
      <c r="C127" s="4">
        <v>1226</v>
      </c>
      <c r="D127" s="4">
        <v>1</v>
      </c>
      <c r="E127" s="4">
        <v>3</v>
      </c>
      <c r="F127" s="4" t="s">
        <v>240</v>
      </c>
      <c r="G127" s="4" t="s">
        <v>241</v>
      </c>
      <c r="H127" s="4" t="s">
        <v>241</v>
      </c>
      <c r="I127" s="4" t="s">
        <v>645</v>
      </c>
      <c r="J127" s="4" t="s">
        <v>608</v>
      </c>
      <c r="K127" s="4" t="s">
        <v>249</v>
      </c>
      <c r="L127" s="4" t="s">
        <v>648</v>
      </c>
      <c r="M127" s="5" t="s">
        <v>649</v>
      </c>
      <c r="N127" s="4" t="s">
        <v>644</v>
      </c>
      <c r="O127" s="6">
        <f>23.4</f>
        <v>23.4</v>
      </c>
      <c r="P127" s="4" t="s">
        <v>267</v>
      </c>
      <c r="Q127" s="6">
        <f>542412</f>
        <v>542412</v>
      </c>
      <c r="R127" s="6">
        <f>2223000</f>
        <v>2223000</v>
      </c>
      <c r="S127" s="5" t="s">
        <v>646</v>
      </c>
      <c r="T127" s="4" t="s">
        <v>265</v>
      </c>
      <c r="U127" s="4" t="s">
        <v>533</v>
      </c>
      <c r="V127" s="6">
        <f>93366</f>
        <v>93366</v>
      </c>
      <c r="W127" s="6">
        <f>1680588</f>
        <v>1680588</v>
      </c>
      <c r="X127" s="4" t="s">
        <v>292</v>
      </c>
      <c r="Y127" s="4" t="s">
        <v>242</v>
      </c>
      <c r="Z127" s="4" t="s">
        <v>306</v>
      </c>
      <c r="AA127" s="4" t="s">
        <v>241</v>
      </c>
      <c r="AD127" s="4" t="s">
        <v>241</v>
      </c>
      <c r="AE127" s="5" t="s">
        <v>241</v>
      </c>
      <c r="AF127" s="5" t="s">
        <v>241</v>
      </c>
      <c r="AH127" s="5" t="s">
        <v>241</v>
      </c>
      <c r="AI127" s="5" t="s">
        <v>244</v>
      </c>
      <c r="AJ127" s="4" t="s">
        <v>245</v>
      </c>
      <c r="AK127" s="4" t="s">
        <v>246</v>
      </c>
      <c r="AQ127" s="4" t="s">
        <v>241</v>
      </c>
      <c r="AR127" s="4" t="s">
        <v>241</v>
      </c>
      <c r="AS127" s="4" t="s">
        <v>241</v>
      </c>
      <c r="AT127" s="5" t="s">
        <v>241</v>
      </c>
      <c r="AU127" s="5" t="s">
        <v>241</v>
      </c>
      <c r="AV127" s="5" t="s">
        <v>241</v>
      </c>
      <c r="AY127" s="4" t="s">
        <v>271</v>
      </c>
      <c r="AZ127" s="4" t="s">
        <v>271</v>
      </c>
      <c r="BA127" s="4" t="s">
        <v>247</v>
      </c>
      <c r="BB127" s="4" t="s">
        <v>272</v>
      </c>
      <c r="BC127" s="4" t="s">
        <v>248</v>
      </c>
      <c r="BD127" s="4" t="s">
        <v>241</v>
      </c>
      <c r="BE127" s="4" t="s">
        <v>250</v>
      </c>
      <c r="BF127" s="4" t="s">
        <v>241</v>
      </c>
      <c r="BJ127" s="4" t="s">
        <v>273</v>
      </c>
      <c r="BK127" s="5" t="s">
        <v>274</v>
      </c>
      <c r="BL127" s="4" t="s">
        <v>275</v>
      </c>
      <c r="BM127" s="4" t="s">
        <v>275</v>
      </c>
      <c r="BN127" s="4" t="s">
        <v>241</v>
      </c>
      <c r="BO127" s="6">
        <f>0</f>
        <v>0</v>
      </c>
      <c r="BP127" s="6">
        <f>-93366</f>
        <v>-93366</v>
      </c>
      <c r="BQ127" s="4" t="s">
        <v>255</v>
      </c>
      <c r="BR127" s="4" t="s">
        <v>256</v>
      </c>
      <c r="BS127" s="4" t="s">
        <v>241</v>
      </c>
      <c r="BT127" s="4" t="s">
        <v>241</v>
      </c>
      <c r="BU127" s="4" t="s">
        <v>241</v>
      </c>
      <c r="BV127" s="4" t="s">
        <v>241</v>
      </c>
      <c r="CE127" s="4" t="s">
        <v>256</v>
      </c>
      <c r="CF127" s="4" t="s">
        <v>241</v>
      </c>
      <c r="CG127" s="4" t="s">
        <v>241</v>
      </c>
      <c r="CK127" s="4" t="s">
        <v>276</v>
      </c>
      <c r="CL127" s="4" t="s">
        <v>258</v>
      </c>
      <c r="CM127" s="4" t="s">
        <v>241</v>
      </c>
      <c r="CO127" s="4" t="s">
        <v>650</v>
      </c>
      <c r="CP127" s="5" t="s">
        <v>260</v>
      </c>
      <c r="CQ127" s="4" t="s">
        <v>261</v>
      </c>
      <c r="CR127" s="4" t="s">
        <v>262</v>
      </c>
      <c r="CS127" s="4" t="s">
        <v>278</v>
      </c>
      <c r="CT127" s="4" t="s">
        <v>241</v>
      </c>
      <c r="CU127" s="4">
        <v>4.2000000000000003E-2</v>
      </c>
      <c r="CV127" s="4" t="s">
        <v>298</v>
      </c>
      <c r="CW127" s="4" t="s">
        <v>263</v>
      </c>
      <c r="CX127" s="4" t="s">
        <v>264</v>
      </c>
      <c r="CY127" s="6">
        <f>0</f>
        <v>0</v>
      </c>
      <c r="CZ127" s="6">
        <f>2223000</f>
        <v>2223000</v>
      </c>
      <c r="DA127" s="6">
        <f>542412</f>
        <v>542412</v>
      </c>
      <c r="DC127" s="4" t="s">
        <v>241</v>
      </c>
      <c r="DD127" s="4" t="s">
        <v>241</v>
      </c>
      <c r="DF127" s="4" t="s">
        <v>241</v>
      </c>
      <c r="DG127" s="6">
        <f>0</f>
        <v>0</v>
      </c>
      <c r="DI127" s="4" t="s">
        <v>241</v>
      </c>
      <c r="DJ127" s="4" t="s">
        <v>241</v>
      </c>
      <c r="DK127" s="4" t="s">
        <v>241</v>
      </c>
      <c r="DL127" s="4" t="s">
        <v>241</v>
      </c>
      <c r="DM127" s="4" t="s">
        <v>268</v>
      </c>
      <c r="DN127" s="4" t="s">
        <v>269</v>
      </c>
      <c r="DO127" s="6">
        <f>23.4</f>
        <v>23.4</v>
      </c>
      <c r="DP127" s="4" t="s">
        <v>241</v>
      </c>
      <c r="DQ127" s="4" t="s">
        <v>241</v>
      </c>
      <c r="DR127" s="4" t="s">
        <v>241</v>
      </c>
      <c r="DS127" s="4" t="s">
        <v>241</v>
      </c>
      <c r="DV127" s="4" t="s">
        <v>651</v>
      </c>
      <c r="DW127" s="4" t="s">
        <v>304</v>
      </c>
      <c r="GN127" s="4" t="s">
        <v>664</v>
      </c>
      <c r="HO127" s="4" t="s">
        <v>282</v>
      </c>
      <c r="HR127" s="4" t="s">
        <v>269</v>
      </c>
      <c r="HS127" s="4" t="s">
        <v>269</v>
      </c>
      <c r="HT127" s="4" t="s">
        <v>241</v>
      </c>
      <c r="HU127" s="4" t="s">
        <v>241</v>
      </c>
      <c r="HV127" s="4" t="s">
        <v>241</v>
      </c>
      <c r="HW127" s="4" t="s">
        <v>241</v>
      </c>
      <c r="HX127" s="4" t="s">
        <v>241</v>
      </c>
      <c r="HY127" s="4" t="s">
        <v>241</v>
      </c>
      <c r="HZ127" s="4" t="s">
        <v>241</v>
      </c>
      <c r="IA127" s="4" t="s">
        <v>241</v>
      </c>
      <c r="IB127" s="4" t="s">
        <v>241</v>
      </c>
      <c r="IC127" s="4" t="s">
        <v>241</v>
      </c>
      <c r="ID127" s="4" t="s">
        <v>241</v>
      </c>
      <c r="IE127" s="4" t="s">
        <v>241</v>
      </c>
      <c r="IF127" s="4" t="s">
        <v>241</v>
      </c>
    </row>
    <row r="128" spans="1:240" x14ac:dyDescent="0.4">
      <c r="A128" s="4">
        <v>2</v>
      </c>
      <c r="B128" s="4" t="s">
        <v>239</v>
      </c>
      <c r="C128" s="4">
        <v>1227</v>
      </c>
      <c r="D128" s="4">
        <v>1</v>
      </c>
      <c r="E128" s="4">
        <v>3</v>
      </c>
      <c r="F128" s="4" t="s">
        <v>240</v>
      </c>
      <c r="G128" s="4" t="s">
        <v>241</v>
      </c>
      <c r="H128" s="4" t="s">
        <v>241</v>
      </c>
      <c r="I128" s="4" t="s">
        <v>645</v>
      </c>
      <c r="J128" s="4" t="s">
        <v>608</v>
      </c>
      <c r="K128" s="4" t="s">
        <v>249</v>
      </c>
      <c r="L128" s="4" t="s">
        <v>648</v>
      </c>
      <c r="M128" s="5" t="s">
        <v>649</v>
      </c>
      <c r="N128" s="4" t="s">
        <v>644</v>
      </c>
      <c r="O128" s="6">
        <f>35.1</f>
        <v>35.1</v>
      </c>
      <c r="P128" s="4" t="s">
        <v>267</v>
      </c>
      <c r="Q128" s="6">
        <f>813618</f>
        <v>813618</v>
      </c>
      <c r="R128" s="6">
        <f>3334500</f>
        <v>3334500</v>
      </c>
      <c r="S128" s="5" t="s">
        <v>646</v>
      </c>
      <c r="T128" s="4" t="s">
        <v>265</v>
      </c>
      <c r="U128" s="4" t="s">
        <v>533</v>
      </c>
      <c r="V128" s="6">
        <f>140049</f>
        <v>140049</v>
      </c>
      <c r="W128" s="6">
        <f>2520882</f>
        <v>2520882</v>
      </c>
      <c r="X128" s="4" t="s">
        <v>292</v>
      </c>
      <c r="Y128" s="4" t="s">
        <v>242</v>
      </c>
      <c r="Z128" s="4" t="s">
        <v>306</v>
      </c>
      <c r="AA128" s="4" t="s">
        <v>241</v>
      </c>
      <c r="AD128" s="4" t="s">
        <v>241</v>
      </c>
      <c r="AE128" s="5" t="s">
        <v>241</v>
      </c>
      <c r="AF128" s="5" t="s">
        <v>241</v>
      </c>
      <c r="AH128" s="5" t="s">
        <v>241</v>
      </c>
      <c r="AI128" s="5" t="s">
        <v>244</v>
      </c>
      <c r="AJ128" s="4" t="s">
        <v>245</v>
      </c>
      <c r="AK128" s="4" t="s">
        <v>246</v>
      </c>
      <c r="AQ128" s="4" t="s">
        <v>241</v>
      </c>
      <c r="AR128" s="4" t="s">
        <v>241</v>
      </c>
      <c r="AS128" s="4" t="s">
        <v>241</v>
      </c>
      <c r="AT128" s="5" t="s">
        <v>241</v>
      </c>
      <c r="AU128" s="5" t="s">
        <v>241</v>
      </c>
      <c r="AV128" s="5" t="s">
        <v>241</v>
      </c>
      <c r="AY128" s="4" t="s">
        <v>271</v>
      </c>
      <c r="AZ128" s="4" t="s">
        <v>271</v>
      </c>
      <c r="BA128" s="4" t="s">
        <v>247</v>
      </c>
      <c r="BB128" s="4" t="s">
        <v>272</v>
      </c>
      <c r="BC128" s="4" t="s">
        <v>248</v>
      </c>
      <c r="BD128" s="4" t="s">
        <v>241</v>
      </c>
      <c r="BE128" s="4" t="s">
        <v>250</v>
      </c>
      <c r="BF128" s="4" t="s">
        <v>241</v>
      </c>
      <c r="BJ128" s="4" t="s">
        <v>273</v>
      </c>
      <c r="BK128" s="5" t="s">
        <v>274</v>
      </c>
      <c r="BL128" s="4" t="s">
        <v>275</v>
      </c>
      <c r="BM128" s="4" t="s">
        <v>275</v>
      </c>
      <c r="BN128" s="4" t="s">
        <v>241</v>
      </c>
      <c r="BO128" s="6">
        <f>0</f>
        <v>0</v>
      </c>
      <c r="BP128" s="6">
        <f>-140049</f>
        <v>-140049</v>
      </c>
      <c r="BQ128" s="4" t="s">
        <v>255</v>
      </c>
      <c r="BR128" s="4" t="s">
        <v>256</v>
      </c>
      <c r="BS128" s="4" t="s">
        <v>241</v>
      </c>
      <c r="BT128" s="4" t="s">
        <v>241</v>
      </c>
      <c r="BU128" s="4" t="s">
        <v>241</v>
      </c>
      <c r="BV128" s="4" t="s">
        <v>241</v>
      </c>
      <c r="CE128" s="4" t="s">
        <v>256</v>
      </c>
      <c r="CF128" s="4" t="s">
        <v>241</v>
      </c>
      <c r="CG128" s="4" t="s">
        <v>241</v>
      </c>
      <c r="CK128" s="4" t="s">
        <v>276</v>
      </c>
      <c r="CL128" s="4" t="s">
        <v>258</v>
      </c>
      <c r="CM128" s="4" t="s">
        <v>241</v>
      </c>
      <c r="CO128" s="4" t="s">
        <v>650</v>
      </c>
      <c r="CP128" s="5" t="s">
        <v>260</v>
      </c>
      <c r="CQ128" s="4" t="s">
        <v>261</v>
      </c>
      <c r="CR128" s="4" t="s">
        <v>262</v>
      </c>
      <c r="CS128" s="4" t="s">
        <v>278</v>
      </c>
      <c r="CT128" s="4" t="s">
        <v>241</v>
      </c>
      <c r="CU128" s="4">
        <v>4.2000000000000003E-2</v>
      </c>
      <c r="CV128" s="4" t="s">
        <v>298</v>
      </c>
      <c r="CW128" s="4" t="s">
        <v>263</v>
      </c>
      <c r="CX128" s="4" t="s">
        <v>264</v>
      </c>
      <c r="CY128" s="6">
        <f>0</f>
        <v>0</v>
      </c>
      <c r="CZ128" s="6">
        <f>3334500</f>
        <v>3334500</v>
      </c>
      <c r="DA128" s="6">
        <f>813618</f>
        <v>813618</v>
      </c>
      <c r="DC128" s="4" t="s">
        <v>241</v>
      </c>
      <c r="DD128" s="4" t="s">
        <v>241</v>
      </c>
      <c r="DF128" s="4" t="s">
        <v>241</v>
      </c>
      <c r="DG128" s="6">
        <f>0</f>
        <v>0</v>
      </c>
      <c r="DI128" s="4" t="s">
        <v>241</v>
      </c>
      <c r="DJ128" s="4" t="s">
        <v>241</v>
      </c>
      <c r="DK128" s="4" t="s">
        <v>241</v>
      </c>
      <c r="DL128" s="4" t="s">
        <v>241</v>
      </c>
      <c r="DM128" s="4" t="s">
        <v>268</v>
      </c>
      <c r="DN128" s="4" t="s">
        <v>269</v>
      </c>
      <c r="DO128" s="6">
        <f>35.1</f>
        <v>35.1</v>
      </c>
      <c r="DP128" s="4" t="s">
        <v>241</v>
      </c>
      <c r="DQ128" s="4" t="s">
        <v>241</v>
      </c>
      <c r="DR128" s="4" t="s">
        <v>241</v>
      </c>
      <c r="DS128" s="4" t="s">
        <v>241</v>
      </c>
      <c r="DV128" s="4" t="s">
        <v>651</v>
      </c>
      <c r="DW128" s="4" t="s">
        <v>330</v>
      </c>
      <c r="GN128" s="4" t="s">
        <v>653</v>
      </c>
      <c r="HO128" s="4" t="s">
        <v>282</v>
      </c>
      <c r="HR128" s="4" t="s">
        <v>269</v>
      </c>
      <c r="HS128" s="4" t="s">
        <v>269</v>
      </c>
      <c r="HT128" s="4" t="s">
        <v>241</v>
      </c>
      <c r="HU128" s="4" t="s">
        <v>241</v>
      </c>
      <c r="HV128" s="4" t="s">
        <v>241</v>
      </c>
      <c r="HW128" s="4" t="s">
        <v>241</v>
      </c>
      <c r="HX128" s="4" t="s">
        <v>241</v>
      </c>
      <c r="HY128" s="4" t="s">
        <v>241</v>
      </c>
      <c r="HZ128" s="4" t="s">
        <v>241</v>
      </c>
      <c r="IA128" s="4" t="s">
        <v>241</v>
      </c>
      <c r="IB128" s="4" t="s">
        <v>241</v>
      </c>
      <c r="IC128" s="4" t="s">
        <v>241</v>
      </c>
      <c r="ID128" s="4" t="s">
        <v>241</v>
      </c>
      <c r="IE128" s="4" t="s">
        <v>241</v>
      </c>
      <c r="IF128" s="4" t="s">
        <v>241</v>
      </c>
    </row>
    <row r="129" spans="1:240" x14ac:dyDescent="0.4">
      <c r="A129" s="4">
        <v>2</v>
      </c>
      <c r="B129" s="4" t="s">
        <v>239</v>
      </c>
      <c r="C129" s="4">
        <v>1228</v>
      </c>
      <c r="D129" s="4">
        <v>1</v>
      </c>
      <c r="E129" s="4">
        <v>3</v>
      </c>
      <c r="F129" s="4" t="s">
        <v>240</v>
      </c>
      <c r="G129" s="4" t="s">
        <v>241</v>
      </c>
      <c r="H129" s="4" t="s">
        <v>241</v>
      </c>
      <c r="I129" s="4" t="s">
        <v>645</v>
      </c>
      <c r="J129" s="4" t="s">
        <v>608</v>
      </c>
      <c r="K129" s="4" t="s">
        <v>249</v>
      </c>
      <c r="L129" s="4" t="s">
        <v>648</v>
      </c>
      <c r="M129" s="5" t="s">
        <v>649</v>
      </c>
      <c r="N129" s="4" t="s">
        <v>644</v>
      </c>
      <c r="O129" s="6">
        <f>12.93</f>
        <v>12.93</v>
      </c>
      <c r="P129" s="4" t="s">
        <v>267</v>
      </c>
      <c r="Q129" s="6">
        <f>299730</f>
        <v>299730</v>
      </c>
      <c r="R129" s="6">
        <f>1228350</f>
        <v>1228350</v>
      </c>
      <c r="S129" s="5" t="s">
        <v>646</v>
      </c>
      <c r="T129" s="4" t="s">
        <v>265</v>
      </c>
      <c r="U129" s="4" t="s">
        <v>533</v>
      </c>
      <c r="V129" s="6">
        <f>51590</f>
        <v>51590</v>
      </c>
      <c r="W129" s="6">
        <f>928620</f>
        <v>928620</v>
      </c>
      <c r="X129" s="4" t="s">
        <v>292</v>
      </c>
      <c r="Y129" s="4" t="s">
        <v>242</v>
      </c>
      <c r="Z129" s="4" t="s">
        <v>306</v>
      </c>
      <c r="AA129" s="4" t="s">
        <v>241</v>
      </c>
      <c r="AD129" s="4" t="s">
        <v>241</v>
      </c>
      <c r="AE129" s="5" t="s">
        <v>241</v>
      </c>
      <c r="AF129" s="5" t="s">
        <v>241</v>
      </c>
      <c r="AH129" s="5" t="s">
        <v>241</v>
      </c>
      <c r="AI129" s="5" t="s">
        <v>244</v>
      </c>
      <c r="AJ129" s="4" t="s">
        <v>245</v>
      </c>
      <c r="AK129" s="4" t="s">
        <v>246</v>
      </c>
      <c r="AQ129" s="4" t="s">
        <v>241</v>
      </c>
      <c r="AR129" s="4" t="s">
        <v>241</v>
      </c>
      <c r="AS129" s="4" t="s">
        <v>241</v>
      </c>
      <c r="AT129" s="5" t="s">
        <v>241</v>
      </c>
      <c r="AU129" s="5" t="s">
        <v>241</v>
      </c>
      <c r="AV129" s="5" t="s">
        <v>241</v>
      </c>
      <c r="AY129" s="4" t="s">
        <v>271</v>
      </c>
      <c r="AZ129" s="4" t="s">
        <v>271</v>
      </c>
      <c r="BA129" s="4" t="s">
        <v>247</v>
      </c>
      <c r="BB129" s="4" t="s">
        <v>272</v>
      </c>
      <c r="BC129" s="4" t="s">
        <v>248</v>
      </c>
      <c r="BD129" s="4" t="s">
        <v>241</v>
      </c>
      <c r="BE129" s="4" t="s">
        <v>250</v>
      </c>
      <c r="BF129" s="4" t="s">
        <v>241</v>
      </c>
      <c r="BJ129" s="4" t="s">
        <v>273</v>
      </c>
      <c r="BK129" s="5" t="s">
        <v>274</v>
      </c>
      <c r="BL129" s="4" t="s">
        <v>275</v>
      </c>
      <c r="BM129" s="4" t="s">
        <v>275</v>
      </c>
      <c r="BN129" s="4" t="s">
        <v>241</v>
      </c>
      <c r="BO129" s="6">
        <f>0</f>
        <v>0</v>
      </c>
      <c r="BP129" s="6">
        <f>-51590</f>
        <v>-51590</v>
      </c>
      <c r="BQ129" s="4" t="s">
        <v>255</v>
      </c>
      <c r="BR129" s="4" t="s">
        <v>256</v>
      </c>
      <c r="BS129" s="4" t="s">
        <v>241</v>
      </c>
      <c r="BT129" s="4" t="s">
        <v>241</v>
      </c>
      <c r="BU129" s="4" t="s">
        <v>241</v>
      </c>
      <c r="BV129" s="4" t="s">
        <v>241</v>
      </c>
      <c r="CE129" s="4" t="s">
        <v>256</v>
      </c>
      <c r="CF129" s="4" t="s">
        <v>241</v>
      </c>
      <c r="CG129" s="4" t="s">
        <v>241</v>
      </c>
      <c r="CK129" s="4" t="s">
        <v>276</v>
      </c>
      <c r="CL129" s="4" t="s">
        <v>258</v>
      </c>
      <c r="CM129" s="4" t="s">
        <v>241</v>
      </c>
      <c r="CO129" s="4" t="s">
        <v>650</v>
      </c>
      <c r="CP129" s="5" t="s">
        <v>260</v>
      </c>
      <c r="CQ129" s="4" t="s">
        <v>261</v>
      </c>
      <c r="CR129" s="4" t="s">
        <v>262</v>
      </c>
      <c r="CS129" s="4" t="s">
        <v>278</v>
      </c>
      <c r="CT129" s="4" t="s">
        <v>241</v>
      </c>
      <c r="CU129" s="4">
        <v>4.2000000000000003E-2</v>
      </c>
      <c r="CV129" s="4" t="s">
        <v>298</v>
      </c>
      <c r="CW129" s="4" t="s">
        <v>263</v>
      </c>
      <c r="CX129" s="4" t="s">
        <v>264</v>
      </c>
      <c r="CY129" s="6">
        <f>0</f>
        <v>0</v>
      </c>
      <c r="CZ129" s="6">
        <f>1228350</f>
        <v>1228350</v>
      </c>
      <c r="DA129" s="6">
        <f>299730</f>
        <v>299730</v>
      </c>
      <c r="DC129" s="4" t="s">
        <v>241</v>
      </c>
      <c r="DD129" s="4" t="s">
        <v>241</v>
      </c>
      <c r="DF129" s="4" t="s">
        <v>241</v>
      </c>
      <c r="DG129" s="6">
        <f>0</f>
        <v>0</v>
      </c>
      <c r="DI129" s="4" t="s">
        <v>241</v>
      </c>
      <c r="DJ129" s="4" t="s">
        <v>241</v>
      </c>
      <c r="DK129" s="4" t="s">
        <v>241</v>
      </c>
      <c r="DL129" s="4" t="s">
        <v>241</v>
      </c>
      <c r="DM129" s="4" t="s">
        <v>268</v>
      </c>
      <c r="DN129" s="4" t="s">
        <v>269</v>
      </c>
      <c r="DO129" s="6">
        <f>12.93</f>
        <v>12.93</v>
      </c>
      <c r="DP129" s="4" t="s">
        <v>241</v>
      </c>
      <c r="DQ129" s="4" t="s">
        <v>241</v>
      </c>
      <c r="DR129" s="4" t="s">
        <v>241</v>
      </c>
      <c r="DS129" s="4" t="s">
        <v>241</v>
      </c>
      <c r="DV129" s="4" t="s">
        <v>651</v>
      </c>
      <c r="DW129" s="4" t="s">
        <v>282</v>
      </c>
      <c r="GN129" s="4" t="s">
        <v>654</v>
      </c>
      <c r="HO129" s="4" t="s">
        <v>282</v>
      </c>
      <c r="HR129" s="4" t="s">
        <v>269</v>
      </c>
      <c r="HS129" s="4" t="s">
        <v>269</v>
      </c>
      <c r="HT129" s="4" t="s">
        <v>241</v>
      </c>
      <c r="HU129" s="4" t="s">
        <v>241</v>
      </c>
      <c r="HV129" s="4" t="s">
        <v>241</v>
      </c>
      <c r="HW129" s="4" t="s">
        <v>241</v>
      </c>
      <c r="HX129" s="4" t="s">
        <v>241</v>
      </c>
      <c r="HY129" s="4" t="s">
        <v>241</v>
      </c>
      <c r="HZ129" s="4" t="s">
        <v>241</v>
      </c>
      <c r="IA129" s="4" t="s">
        <v>241</v>
      </c>
      <c r="IB129" s="4" t="s">
        <v>241</v>
      </c>
      <c r="IC129" s="4" t="s">
        <v>241</v>
      </c>
      <c r="ID129" s="4" t="s">
        <v>241</v>
      </c>
      <c r="IE129" s="4" t="s">
        <v>241</v>
      </c>
      <c r="IF129" s="4" t="s">
        <v>241</v>
      </c>
    </row>
    <row r="130" spans="1:240" x14ac:dyDescent="0.4">
      <c r="A130" s="4">
        <v>2</v>
      </c>
      <c r="B130" s="4" t="s">
        <v>239</v>
      </c>
      <c r="C130" s="4">
        <v>1229</v>
      </c>
      <c r="D130" s="4">
        <v>1</v>
      </c>
      <c r="E130" s="4">
        <v>1</v>
      </c>
      <c r="F130" s="4" t="s">
        <v>240</v>
      </c>
      <c r="G130" s="4" t="s">
        <v>241</v>
      </c>
      <c r="H130" s="4" t="s">
        <v>241</v>
      </c>
      <c r="I130" s="4" t="s">
        <v>645</v>
      </c>
      <c r="J130" s="4" t="s">
        <v>608</v>
      </c>
      <c r="K130" s="4" t="s">
        <v>249</v>
      </c>
      <c r="L130" s="4" t="s">
        <v>648</v>
      </c>
      <c r="M130" s="5" t="s">
        <v>649</v>
      </c>
      <c r="N130" s="4" t="s">
        <v>644</v>
      </c>
      <c r="O130" s="6">
        <f>23.18</f>
        <v>23.18</v>
      </c>
      <c r="P130" s="4" t="s">
        <v>267</v>
      </c>
      <c r="Q130" s="6">
        <f>1</f>
        <v>1</v>
      </c>
      <c r="R130" s="6">
        <f>3407460</f>
        <v>3407460</v>
      </c>
      <c r="S130" s="5" t="s">
        <v>646</v>
      </c>
      <c r="T130" s="4" t="s">
        <v>322</v>
      </c>
      <c r="U130" s="4" t="s">
        <v>322</v>
      </c>
      <c r="W130" s="6">
        <f>3407459</f>
        <v>3407459</v>
      </c>
      <c r="X130" s="4" t="s">
        <v>292</v>
      </c>
      <c r="Y130" s="4" t="s">
        <v>242</v>
      </c>
      <c r="Z130" s="4" t="s">
        <v>306</v>
      </c>
      <c r="AA130" s="4" t="s">
        <v>241</v>
      </c>
      <c r="AD130" s="4" t="s">
        <v>241</v>
      </c>
      <c r="AF130" s="5" t="s">
        <v>241</v>
      </c>
      <c r="AI130" s="5" t="s">
        <v>244</v>
      </c>
      <c r="AJ130" s="4" t="s">
        <v>245</v>
      </c>
      <c r="AK130" s="4" t="s">
        <v>246</v>
      </c>
      <c r="BA130" s="4" t="s">
        <v>247</v>
      </c>
      <c r="BB130" s="4" t="s">
        <v>241</v>
      </c>
      <c r="BC130" s="4" t="s">
        <v>248</v>
      </c>
      <c r="BD130" s="4" t="s">
        <v>241</v>
      </c>
      <c r="BE130" s="4" t="s">
        <v>250</v>
      </c>
      <c r="BF130" s="4" t="s">
        <v>241</v>
      </c>
      <c r="BJ130" s="4" t="s">
        <v>251</v>
      </c>
      <c r="BK130" s="5" t="s">
        <v>252</v>
      </c>
      <c r="BL130" s="4" t="s">
        <v>253</v>
      </c>
      <c r="BM130" s="4" t="s">
        <v>275</v>
      </c>
      <c r="BN130" s="4" t="s">
        <v>241</v>
      </c>
      <c r="BO130" s="6">
        <f>0</f>
        <v>0</v>
      </c>
      <c r="BP130" s="6">
        <f>0</f>
        <v>0</v>
      </c>
      <c r="BQ130" s="4" t="s">
        <v>255</v>
      </c>
      <c r="BR130" s="4" t="s">
        <v>256</v>
      </c>
      <c r="CF130" s="4" t="s">
        <v>241</v>
      </c>
      <c r="CG130" s="4" t="s">
        <v>241</v>
      </c>
      <c r="CK130" s="4" t="s">
        <v>276</v>
      </c>
      <c r="CL130" s="4" t="s">
        <v>258</v>
      </c>
      <c r="CM130" s="4" t="s">
        <v>241</v>
      </c>
      <c r="CO130" s="4" t="s">
        <v>650</v>
      </c>
      <c r="CP130" s="5" t="s">
        <v>260</v>
      </c>
      <c r="CQ130" s="4" t="s">
        <v>261</v>
      </c>
      <c r="CR130" s="4" t="s">
        <v>262</v>
      </c>
      <c r="CS130" s="4" t="s">
        <v>241</v>
      </c>
      <c r="CT130" s="4" t="s">
        <v>241</v>
      </c>
      <c r="CU130" s="4">
        <v>0</v>
      </c>
      <c r="CV130" s="4" t="s">
        <v>298</v>
      </c>
      <c r="CW130" s="4" t="s">
        <v>263</v>
      </c>
      <c r="CX130" s="4" t="s">
        <v>321</v>
      </c>
      <c r="CZ130" s="6">
        <f>3407460</f>
        <v>3407460</v>
      </c>
      <c r="DA130" s="6">
        <f>0</f>
        <v>0</v>
      </c>
      <c r="DC130" s="4" t="s">
        <v>241</v>
      </c>
      <c r="DD130" s="4" t="s">
        <v>241</v>
      </c>
      <c r="DF130" s="4" t="s">
        <v>241</v>
      </c>
      <c r="DI130" s="4" t="s">
        <v>241</v>
      </c>
      <c r="DJ130" s="4" t="s">
        <v>241</v>
      </c>
      <c r="DK130" s="4" t="s">
        <v>241</v>
      </c>
      <c r="DL130" s="4" t="s">
        <v>241</v>
      </c>
      <c r="DM130" s="4" t="s">
        <v>268</v>
      </c>
      <c r="DN130" s="4" t="s">
        <v>269</v>
      </c>
      <c r="DO130" s="6">
        <f>23.18</f>
        <v>23.18</v>
      </c>
      <c r="DP130" s="4" t="s">
        <v>241</v>
      </c>
      <c r="DQ130" s="4" t="s">
        <v>241</v>
      </c>
      <c r="DR130" s="4" t="s">
        <v>241</v>
      </c>
      <c r="DS130" s="4" t="s">
        <v>241</v>
      </c>
      <c r="DV130" s="4" t="s">
        <v>651</v>
      </c>
      <c r="DW130" s="4" t="s">
        <v>310</v>
      </c>
      <c r="HO130" s="4" t="s">
        <v>304</v>
      </c>
      <c r="HR130" s="4" t="s">
        <v>269</v>
      </c>
      <c r="HS130" s="4" t="s">
        <v>269</v>
      </c>
    </row>
    <row r="131" spans="1:240" x14ac:dyDescent="0.4">
      <c r="A131" s="4">
        <v>2</v>
      </c>
      <c r="B131" s="4" t="s">
        <v>239</v>
      </c>
      <c r="C131" s="4">
        <v>1230</v>
      </c>
      <c r="D131" s="4">
        <v>1</v>
      </c>
      <c r="E131" s="4">
        <v>1</v>
      </c>
      <c r="F131" s="4" t="s">
        <v>240</v>
      </c>
      <c r="G131" s="4" t="s">
        <v>241</v>
      </c>
      <c r="H131" s="4" t="s">
        <v>241</v>
      </c>
      <c r="I131" s="4" t="s">
        <v>645</v>
      </c>
      <c r="J131" s="4" t="s">
        <v>608</v>
      </c>
      <c r="K131" s="4" t="s">
        <v>249</v>
      </c>
      <c r="L131" s="4" t="s">
        <v>308</v>
      </c>
      <c r="M131" s="5" t="s">
        <v>649</v>
      </c>
      <c r="N131" s="4" t="s">
        <v>308</v>
      </c>
      <c r="O131" s="6">
        <f>9.94</f>
        <v>9.94</v>
      </c>
      <c r="P131" s="4" t="s">
        <v>267</v>
      </c>
      <c r="Q131" s="6">
        <f>1</f>
        <v>1</v>
      </c>
      <c r="R131" s="6">
        <f>3548580</f>
        <v>3548580</v>
      </c>
      <c r="S131" s="5" t="s">
        <v>646</v>
      </c>
      <c r="T131" s="4" t="s">
        <v>322</v>
      </c>
      <c r="U131" s="4" t="s">
        <v>322</v>
      </c>
      <c r="W131" s="6">
        <f>3548579</f>
        <v>3548579</v>
      </c>
      <c r="X131" s="4" t="s">
        <v>292</v>
      </c>
      <c r="Y131" s="4" t="s">
        <v>242</v>
      </c>
      <c r="Z131" s="4" t="s">
        <v>306</v>
      </c>
      <c r="AA131" s="4" t="s">
        <v>241</v>
      </c>
      <c r="AD131" s="4" t="s">
        <v>241</v>
      </c>
      <c r="AF131" s="5" t="s">
        <v>241</v>
      </c>
      <c r="AI131" s="5" t="s">
        <v>244</v>
      </c>
      <c r="AJ131" s="4" t="s">
        <v>245</v>
      </c>
      <c r="AK131" s="4" t="s">
        <v>246</v>
      </c>
      <c r="BA131" s="4" t="s">
        <v>247</v>
      </c>
      <c r="BB131" s="4" t="s">
        <v>241</v>
      </c>
      <c r="BC131" s="4" t="s">
        <v>248</v>
      </c>
      <c r="BD131" s="4" t="s">
        <v>241</v>
      </c>
      <c r="BE131" s="4" t="s">
        <v>250</v>
      </c>
      <c r="BF131" s="4" t="s">
        <v>241</v>
      </c>
      <c r="BJ131" s="4" t="s">
        <v>399</v>
      </c>
      <c r="BK131" s="5" t="s">
        <v>244</v>
      </c>
      <c r="BL131" s="4" t="s">
        <v>253</v>
      </c>
      <c r="BM131" s="4" t="s">
        <v>275</v>
      </c>
      <c r="BN131" s="4" t="s">
        <v>241</v>
      </c>
      <c r="BO131" s="6">
        <f>0</f>
        <v>0</v>
      </c>
      <c r="BP131" s="6">
        <f>0</f>
        <v>0</v>
      </c>
      <c r="BQ131" s="4" t="s">
        <v>255</v>
      </c>
      <c r="BR131" s="4" t="s">
        <v>256</v>
      </c>
      <c r="CF131" s="4" t="s">
        <v>241</v>
      </c>
      <c r="CG131" s="4" t="s">
        <v>241</v>
      </c>
      <c r="CK131" s="4" t="s">
        <v>276</v>
      </c>
      <c r="CL131" s="4" t="s">
        <v>258</v>
      </c>
      <c r="CM131" s="4" t="s">
        <v>241</v>
      </c>
      <c r="CO131" s="4" t="s">
        <v>650</v>
      </c>
      <c r="CP131" s="5" t="s">
        <v>260</v>
      </c>
      <c r="CQ131" s="4" t="s">
        <v>261</v>
      </c>
      <c r="CR131" s="4" t="s">
        <v>262</v>
      </c>
      <c r="CS131" s="4" t="s">
        <v>241</v>
      </c>
      <c r="CT131" s="4" t="s">
        <v>241</v>
      </c>
      <c r="CU131" s="4">
        <v>0</v>
      </c>
      <c r="CV131" s="4" t="s">
        <v>298</v>
      </c>
      <c r="CW131" s="4" t="s">
        <v>299</v>
      </c>
      <c r="CX131" s="4" t="s">
        <v>321</v>
      </c>
      <c r="CZ131" s="6">
        <f>3548580</f>
        <v>3548580</v>
      </c>
      <c r="DA131" s="6">
        <f>0</f>
        <v>0</v>
      </c>
      <c r="DC131" s="4" t="s">
        <v>241</v>
      </c>
      <c r="DD131" s="4" t="s">
        <v>241</v>
      </c>
      <c r="DF131" s="4" t="s">
        <v>241</v>
      </c>
      <c r="DI131" s="4" t="s">
        <v>241</v>
      </c>
      <c r="DJ131" s="4" t="s">
        <v>241</v>
      </c>
      <c r="DK131" s="4" t="s">
        <v>241</v>
      </c>
      <c r="DL131" s="4" t="s">
        <v>241</v>
      </c>
      <c r="DM131" s="4" t="s">
        <v>268</v>
      </c>
      <c r="DN131" s="4" t="s">
        <v>269</v>
      </c>
      <c r="DO131" s="6">
        <f>9.94</f>
        <v>9.94</v>
      </c>
      <c r="DP131" s="4" t="s">
        <v>241</v>
      </c>
      <c r="DQ131" s="4" t="s">
        <v>241</v>
      </c>
      <c r="DR131" s="4" t="s">
        <v>241</v>
      </c>
      <c r="DS131" s="4" t="s">
        <v>241</v>
      </c>
      <c r="DV131" s="4" t="s">
        <v>651</v>
      </c>
      <c r="DW131" s="4" t="s">
        <v>315</v>
      </c>
      <c r="HO131" s="4" t="s">
        <v>304</v>
      </c>
      <c r="HR131" s="4" t="s">
        <v>269</v>
      </c>
      <c r="HS131" s="4" t="s">
        <v>269</v>
      </c>
    </row>
    <row r="132" spans="1:240" x14ac:dyDescent="0.4">
      <c r="A132" s="4">
        <v>2</v>
      </c>
      <c r="B132" s="4" t="s">
        <v>239</v>
      </c>
      <c r="C132" s="4">
        <v>1231</v>
      </c>
      <c r="D132" s="4">
        <v>1</v>
      </c>
      <c r="E132" s="4">
        <v>3</v>
      </c>
      <c r="F132" s="4" t="s">
        <v>240</v>
      </c>
      <c r="G132" s="4" t="s">
        <v>241</v>
      </c>
      <c r="H132" s="4" t="s">
        <v>241</v>
      </c>
      <c r="I132" s="4" t="s">
        <v>748</v>
      </c>
      <c r="J132" s="4" t="s">
        <v>608</v>
      </c>
      <c r="K132" s="4" t="s">
        <v>249</v>
      </c>
      <c r="L132" s="4" t="s">
        <v>706</v>
      </c>
      <c r="M132" s="5" t="s">
        <v>716</v>
      </c>
      <c r="N132" s="4" t="s">
        <v>747</v>
      </c>
      <c r="O132" s="6">
        <f>109</f>
        <v>109</v>
      </c>
      <c r="P132" s="4" t="s">
        <v>267</v>
      </c>
      <c r="Q132" s="6">
        <f>8165190</f>
        <v>8165190</v>
      </c>
      <c r="R132" s="6">
        <f>17985000</f>
        <v>17985000</v>
      </c>
      <c r="S132" s="5" t="s">
        <v>749</v>
      </c>
      <c r="T132" s="4" t="s">
        <v>265</v>
      </c>
      <c r="U132" s="4" t="s">
        <v>579</v>
      </c>
      <c r="V132" s="6">
        <f>755370</f>
        <v>755370</v>
      </c>
      <c r="W132" s="6">
        <f>9819810</f>
        <v>9819810</v>
      </c>
      <c r="X132" s="4" t="s">
        <v>292</v>
      </c>
      <c r="Y132" s="4" t="s">
        <v>242</v>
      </c>
      <c r="Z132" s="4" t="s">
        <v>306</v>
      </c>
      <c r="AA132" s="4" t="s">
        <v>241</v>
      </c>
      <c r="AD132" s="4" t="s">
        <v>241</v>
      </c>
      <c r="AE132" s="5" t="s">
        <v>241</v>
      </c>
      <c r="AF132" s="5" t="s">
        <v>241</v>
      </c>
      <c r="AH132" s="5" t="s">
        <v>241</v>
      </c>
      <c r="AI132" s="5" t="s">
        <v>244</v>
      </c>
      <c r="AJ132" s="4" t="s">
        <v>245</v>
      </c>
      <c r="AK132" s="4" t="s">
        <v>246</v>
      </c>
      <c r="AQ132" s="4" t="s">
        <v>241</v>
      </c>
      <c r="AR132" s="4" t="s">
        <v>241</v>
      </c>
      <c r="AS132" s="4" t="s">
        <v>241</v>
      </c>
      <c r="AT132" s="5" t="s">
        <v>241</v>
      </c>
      <c r="AU132" s="5" t="s">
        <v>241</v>
      </c>
      <c r="AV132" s="5" t="s">
        <v>241</v>
      </c>
      <c r="AY132" s="4" t="s">
        <v>271</v>
      </c>
      <c r="AZ132" s="4" t="s">
        <v>271</v>
      </c>
      <c r="BA132" s="4" t="s">
        <v>247</v>
      </c>
      <c r="BB132" s="4" t="s">
        <v>272</v>
      </c>
      <c r="BC132" s="4" t="s">
        <v>248</v>
      </c>
      <c r="BD132" s="4" t="s">
        <v>241</v>
      </c>
      <c r="BE132" s="4" t="s">
        <v>250</v>
      </c>
      <c r="BF132" s="4" t="s">
        <v>241</v>
      </c>
      <c r="BJ132" s="4" t="s">
        <v>273</v>
      </c>
      <c r="BK132" s="5" t="s">
        <v>274</v>
      </c>
      <c r="BL132" s="4" t="s">
        <v>275</v>
      </c>
      <c r="BM132" s="4" t="s">
        <v>275</v>
      </c>
      <c r="BN132" s="4" t="s">
        <v>241</v>
      </c>
      <c r="BO132" s="6">
        <f>0</f>
        <v>0</v>
      </c>
      <c r="BP132" s="6">
        <f>-755370</f>
        <v>-755370</v>
      </c>
      <c r="BQ132" s="4" t="s">
        <v>255</v>
      </c>
      <c r="BR132" s="4" t="s">
        <v>256</v>
      </c>
      <c r="BS132" s="4" t="s">
        <v>241</v>
      </c>
      <c r="BT132" s="4" t="s">
        <v>241</v>
      </c>
      <c r="BU132" s="4" t="s">
        <v>241</v>
      </c>
      <c r="BV132" s="4" t="s">
        <v>241</v>
      </c>
      <c r="CE132" s="4" t="s">
        <v>256</v>
      </c>
      <c r="CF132" s="4" t="s">
        <v>241</v>
      </c>
      <c r="CG132" s="4" t="s">
        <v>241</v>
      </c>
      <c r="CK132" s="4" t="s">
        <v>276</v>
      </c>
      <c r="CL132" s="4" t="s">
        <v>258</v>
      </c>
      <c r="CM132" s="4" t="s">
        <v>241</v>
      </c>
      <c r="CO132" s="4" t="s">
        <v>689</v>
      </c>
      <c r="CP132" s="5" t="s">
        <v>260</v>
      </c>
      <c r="CQ132" s="4" t="s">
        <v>261</v>
      </c>
      <c r="CR132" s="4" t="s">
        <v>262</v>
      </c>
      <c r="CS132" s="4" t="s">
        <v>278</v>
      </c>
      <c r="CT132" s="4" t="s">
        <v>241</v>
      </c>
      <c r="CU132" s="4">
        <v>4.2000000000000003E-2</v>
      </c>
      <c r="CV132" s="4" t="s">
        <v>298</v>
      </c>
      <c r="CW132" s="4" t="s">
        <v>705</v>
      </c>
      <c r="CX132" s="4" t="s">
        <v>321</v>
      </c>
      <c r="CY132" s="6">
        <f>0</f>
        <v>0</v>
      </c>
      <c r="CZ132" s="6">
        <f>17985000</f>
        <v>17985000</v>
      </c>
      <c r="DA132" s="6">
        <f>8165190</f>
        <v>8165190</v>
      </c>
      <c r="DC132" s="4" t="s">
        <v>241</v>
      </c>
      <c r="DD132" s="4" t="s">
        <v>241</v>
      </c>
      <c r="DF132" s="4" t="s">
        <v>241</v>
      </c>
      <c r="DG132" s="6">
        <f>0</f>
        <v>0</v>
      </c>
      <c r="DI132" s="4" t="s">
        <v>241</v>
      </c>
      <c r="DJ132" s="4" t="s">
        <v>241</v>
      </c>
      <c r="DK132" s="4" t="s">
        <v>241</v>
      </c>
      <c r="DL132" s="4" t="s">
        <v>241</v>
      </c>
      <c r="DM132" s="4" t="s">
        <v>289</v>
      </c>
      <c r="DN132" s="4" t="s">
        <v>269</v>
      </c>
      <c r="DO132" s="6">
        <f>109</f>
        <v>109</v>
      </c>
      <c r="DP132" s="4" t="s">
        <v>241</v>
      </c>
      <c r="DQ132" s="4" t="s">
        <v>241</v>
      </c>
      <c r="DR132" s="4" t="s">
        <v>241</v>
      </c>
      <c r="DS132" s="4" t="s">
        <v>241</v>
      </c>
      <c r="DV132" s="4" t="s">
        <v>750</v>
      </c>
      <c r="DW132" s="4" t="s">
        <v>268</v>
      </c>
      <c r="GN132" s="4" t="s">
        <v>751</v>
      </c>
      <c r="HO132" s="4" t="s">
        <v>282</v>
      </c>
      <c r="HR132" s="4" t="s">
        <v>269</v>
      </c>
      <c r="HS132" s="4" t="s">
        <v>269</v>
      </c>
      <c r="HT132" s="4" t="s">
        <v>241</v>
      </c>
      <c r="HU132" s="4" t="s">
        <v>241</v>
      </c>
      <c r="HV132" s="4" t="s">
        <v>241</v>
      </c>
      <c r="HW132" s="4" t="s">
        <v>241</v>
      </c>
      <c r="HX132" s="4" t="s">
        <v>241</v>
      </c>
      <c r="HY132" s="4" t="s">
        <v>241</v>
      </c>
      <c r="HZ132" s="4" t="s">
        <v>241</v>
      </c>
      <c r="IA132" s="4" t="s">
        <v>241</v>
      </c>
      <c r="IB132" s="4" t="s">
        <v>241</v>
      </c>
      <c r="IC132" s="4" t="s">
        <v>241</v>
      </c>
      <c r="ID132" s="4" t="s">
        <v>241</v>
      </c>
      <c r="IE132" s="4" t="s">
        <v>241</v>
      </c>
      <c r="IF132" s="4" t="s">
        <v>241</v>
      </c>
    </row>
    <row r="133" spans="1:240" x14ac:dyDescent="0.4">
      <c r="A133" s="4">
        <v>2</v>
      </c>
      <c r="B133" s="4" t="s">
        <v>239</v>
      </c>
      <c r="C133" s="4">
        <v>1232</v>
      </c>
      <c r="D133" s="4">
        <v>1</v>
      </c>
      <c r="E133" s="4">
        <v>3</v>
      </c>
      <c r="F133" s="4" t="s">
        <v>240</v>
      </c>
      <c r="G133" s="4" t="s">
        <v>241</v>
      </c>
      <c r="H133" s="4" t="s">
        <v>241</v>
      </c>
      <c r="I133" s="4" t="s">
        <v>748</v>
      </c>
      <c r="J133" s="4" t="s">
        <v>608</v>
      </c>
      <c r="K133" s="4" t="s">
        <v>249</v>
      </c>
      <c r="L133" s="4" t="s">
        <v>308</v>
      </c>
      <c r="M133" s="5" t="s">
        <v>716</v>
      </c>
      <c r="N133" s="4" t="s">
        <v>308</v>
      </c>
      <c r="O133" s="6">
        <f>48</f>
        <v>48</v>
      </c>
      <c r="P133" s="4" t="s">
        <v>267</v>
      </c>
      <c r="Q133" s="6">
        <f>2210544</f>
        <v>2210544</v>
      </c>
      <c r="R133" s="6">
        <f>17136000</f>
        <v>17136000</v>
      </c>
      <c r="S133" s="5" t="s">
        <v>749</v>
      </c>
      <c r="T133" s="4" t="s">
        <v>322</v>
      </c>
      <c r="U133" s="4" t="s">
        <v>579</v>
      </c>
      <c r="V133" s="6">
        <f>1148112</f>
        <v>1148112</v>
      </c>
      <c r="W133" s="6">
        <f>14925456</f>
        <v>14925456</v>
      </c>
      <c r="X133" s="4" t="s">
        <v>292</v>
      </c>
      <c r="Y133" s="4" t="s">
        <v>242</v>
      </c>
      <c r="Z133" s="4" t="s">
        <v>306</v>
      </c>
      <c r="AA133" s="4" t="s">
        <v>241</v>
      </c>
      <c r="AD133" s="4" t="s">
        <v>241</v>
      </c>
      <c r="AE133" s="5" t="s">
        <v>241</v>
      </c>
      <c r="AF133" s="5" t="s">
        <v>241</v>
      </c>
      <c r="AH133" s="5" t="s">
        <v>241</v>
      </c>
      <c r="AI133" s="5" t="s">
        <v>244</v>
      </c>
      <c r="AJ133" s="4" t="s">
        <v>245</v>
      </c>
      <c r="AK133" s="4" t="s">
        <v>246</v>
      </c>
      <c r="AQ133" s="4" t="s">
        <v>241</v>
      </c>
      <c r="AR133" s="4" t="s">
        <v>241</v>
      </c>
      <c r="AS133" s="4" t="s">
        <v>241</v>
      </c>
      <c r="AT133" s="5" t="s">
        <v>241</v>
      </c>
      <c r="AU133" s="5" t="s">
        <v>241</v>
      </c>
      <c r="AV133" s="5" t="s">
        <v>241</v>
      </c>
      <c r="AY133" s="4" t="s">
        <v>271</v>
      </c>
      <c r="AZ133" s="4" t="s">
        <v>271</v>
      </c>
      <c r="BA133" s="4" t="s">
        <v>247</v>
      </c>
      <c r="BB133" s="4" t="s">
        <v>272</v>
      </c>
      <c r="BC133" s="4" t="s">
        <v>248</v>
      </c>
      <c r="BD133" s="4" t="s">
        <v>241</v>
      </c>
      <c r="BE133" s="4" t="s">
        <v>250</v>
      </c>
      <c r="BF133" s="4" t="s">
        <v>241</v>
      </c>
      <c r="BJ133" s="4" t="s">
        <v>273</v>
      </c>
      <c r="BK133" s="5" t="s">
        <v>274</v>
      </c>
      <c r="BL133" s="4" t="s">
        <v>275</v>
      </c>
      <c r="BM133" s="4" t="s">
        <v>275</v>
      </c>
      <c r="BN133" s="4" t="s">
        <v>241</v>
      </c>
      <c r="BO133" s="6">
        <f>0</f>
        <v>0</v>
      </c>
      <c r="BP133" s="6">
        <f>-1148112</f>
        <v>-1148112</v>
      </c>
      <c r="BQ133" s="4" t="s">
        <v>255</v>
      </c>
      <c r="BR133" s="4" t="s">
        <v>256</v>
      </c>
      <c r="BS133" s="4" t="s">
        <v>241</v>
      </c>
      <c r="BT133" s="4" t="s">
        <v>241</v>
      </c>
      <c r="BU133" s="4" t="s">
        <v>241</v>
      </c>
      <c r="BV133" s="4" t="s">
        <v>241</v>
      </c>
      <c r="CE133" s="4" t="s">
        <v>256</v>
      </c>
      <c r="CF133" s="4" t="s">
        <v>241</v>
      </c>
      <c r="CG133" s="4" t="s">
        <v>241</v>
      </c>
      <c r="CK133" s="4" t="s">
        <v>276</v>
      </c>
      <c r="CL133" s="4" t="s">
        <v>258</v>
      </c>
      <c r="CM133" s="4" t="s">
        <v>241</v>
      </c>
      <c r="CO133" s="4" t="s">
        <v>689</v>
      </c>
      <c r="CP133" s="5" t="s">
        <v>260</v>
      </c>
      <c r="CQ133" s="4" t="s">
        <v>261</v>
      </c>
      <c r="CR133" s="4" t="s">
        <v>262</v>
      </c>
      <c r="CS133" s="4" t="s">
        <v>278</v>
      </c>
      <c r="CT133" s="4" t="s">
        <v>241</v>
      </c>
      <c r="CU133" s="4">
        <v>6.7000000000000004E-2</v>
      </c>
      <c r="CV133" s="4" t="s">
        <v>298</v>
      </c>
      <c r="CW133" s="4" t="s">
        <v>299</v>
      </c>
      <c r="CX133" s="4" t="s">
        <v>321</v>
      </c>
      <c r="CY133" s="6">
        <f>0</f>
        <v>0</v>
      </c>
      <c r="CZ133" s="6">
        <f>17136000</f>
        <v>17136000</v>
      </c>
      <c r="DA133" s="6">
        <f>2210544</f>
        <v>2210544</v>
      </c>
      <c r="DC133" s="4" t="s">
        <v>241</v>
      </c>
      <c r="DD133" s="4" t="s">
        <v>241</v>
      </c>
      <c r="DF133" s="4" t="s">
        <v>241</v>
      </c>
      <c r="DG133" s="6">
        <f>0</f>
        <v>0</v>
      </c>
      <c r="DI133" s="4" t="s">
        <v>241</v>
      </c>
      <c r="DJ133" s="4" t="s">
        <v>241</v>
      </c>
      <c r="DK133" s="4" t="s">
        <v>241</v>
      </c>
      <c r="DL133" s="4" t="s">
        <v>241</v>
      </c>
      <c r="DM133" s="4" t="s">
        <v>289</v>
      </c>
      <c r="DN133" s="4" t="s">
        <v>269</v>
      </c>
      <c r="DO133" s="6">
        <f>48</f>
        <v>48</v>
      </c>
      <c r="DP133" s="4" t="s">
        <v>241</v>
      </c>
      <c r="DQ133" s="4" t="s">
        <v>241</v>
      </c>
      <c r="DR133" s="4" t="s">
        <v>241</v>
      </c>
      <c r="DS133" s="4" t="s">
        <v>241</v>
      </c>
      <c r="DV133" s="4" t="s">
        <v>750</v>
      </c>
      <c r="DW133" s="4" t="s">
        <v>289</v>
      </c>
      <c r="GN133" s="4" t="s">
        <v>777</v>
      </c>
      <c r="HO133" s="4" t="s">
        <v>282</v>
      </c>
      <c r="HR133" s="4" t="s">
        <v>269</v>
      </c>
      <c r="HS133" s="4" t="s">
        <v>269</v>
      </c>
      <c r="HT133" s="4" t="s">
        <v>241</v>
      </c>
      <c r="HU133" s="4" t="s">
        <v>241</v>
      </c>
      <c r="HV133" s="4" t="s">
        <v>241</v>
      </c>
      <c r="HW133" s="4" t="s">
        <v>241</v>
      </c>
      <c r="HX133" s="4" t="s">
        <v>241</v>
      </c>
      <c r="HY133" s="4" t="s">
        <v>241</v>
      </c>
      <c r="HZ133" s="4" t="s">
        <v>241</v>
      </c>
      <c r="IA133" s="4" t="s">
        <v>241</v>
      </c>
      <c r="IB133" s="4" t="s">
        <v>241</v>
      </c>
      <c r="IC133" s="4" t="s">
        <v>241</v>
      </c>
      <c r="ID133" s="4" t="s">
        <v>241</v>
      </c>
      <c r="IE133" s="4" t="s">
        <v>241</v>
      </c>
      <c r="IF133" s="4" t="s">
        <v>241</v>
      </c>
    </row>
    <row r="134" spans="1:240" x14ac:dyDescent="0.4">
      <c r="A134" s="4">
        <v>2</v>
      </c>
      <c r="B134" s="4" t="s">
        <v>239</v>
      </c>
      <c r="C134" s="4">
        <v>1233</v>
      </c>
      <c r="D134" s="4">
        <v>1</v>
      </c>
      <c r="E134" s="4">
        <v>3</v>
      </c>
      <c r="F134" s="4" t="s">
        <v>240</v>
      </c>
      <c r="G134" s="4" t="s">
        <v>241</v>
      </c>
      <c r="H134" s="4" t="s">
        <v>241</v>
      </c>
      <c r="I134" s="4" t="s">
        <v>655</v>
      </c>
      <c r="J134" s="4" t="s">
        <v>608</v>
      </c>
      <c r="K134" s="4" t="s">
        <v>249</v>
      </c>
      <c r="L134" s="4" t="s">
        <v>308</v>
      </c>
      <c r="M134" s="5" t="s">
        <v>657</v>
      </c>
      <c r="N134" s="4" t="s">
        <v>308</v>
      </c>
      <c r="O134" s="6">
        <f>50</f>
        <v>50</v>
      </c>
      <c r="P134" s="4" t="s">
        <v>267</v>
      </c>
      <c r="Q134" s="6">
        <f>7729050</f>
        <v>7729050</v>
      </c>
      <c r="R134" s="6">
        <f>17850000</f>
        <v>17850000</v>
      </c>
      <c r="S134" s="5" t="s">
        <v>656</v>
      </c>
      <c r="T134" s="4" t="s">
        <v>300</v>
      </c>
      <c r="U134" s="4" t="s">
        <v>302</v>
      </c>
      <c r="V134" s="6">
        <f>481950</f>
        <v>481950</v>
      </c>
      <c r="W134" s="6">
        <f>10120950</f>
        <v>10120950</v>
      </c>
      <c r="X134" s="4" t="s">
        <v>292</v>
      </c>
      <c r="Y134" s="4" t="s">
        <v>242</v>
      </c>
      <c r="Z134" s="4" t="s">
        <v>306</v>
      </c>
      <c r="AA134" s="4" t="s">
        <v>241</v>
      </c>
      <c r="AD134" s="4" t="s">
        <v>241</v>
      </c>
      <c r="AE134" s="5" t="s">
        <v>241</v>
      </c>
      <c r="AF134" s="5" t="s">
        <v>241</v>
      </c>
      <c r="AH134" s="5" t="s">
        <v>241</v>
      </c>
      <c r="AI134" s="5" t="s">
        <v>244</v>
      </c>
      <c r="AJ134" s="4" t="s">
        <v>245</v>
      </c>
      <c r="AK134" s="4" t="s">
        <v>246</v>
      </c>
      <c r="AQ134" s="4" t="s">
        <v>241</v>
      </c>
      <c r="AR134" s="4" t="s">
        <v>241</v>
      </c>
      <c r="AS134" s="4" t="s">
        <v>241</v>
      </c>
      <c r="AT134" s="5" t="s">
        <v>241</v>
      </c>
      <c r="AU134" s="5" t="s">
        <v>241</v>
      </c>
      <c r="AV134" s="5" t="s">
        <v>241</v>
      </c>
      <c r="AY134" s="4" t="s">
        <v>271</v>
      </c>
      <c r="AZ134" s="4" t="s">
        <v>271</v>
      </c>
      <c r="BA134" s="4" t="s">
        <v>247</v>
      </c>
      <c r="BB134" s="4" t="s">
        <v>272</v>
      </c>
      <c r="BC134" s="4" t="s">
        <v>248</v>
      </c>
      <c r="BD134" s="4" t="s">
        <v>241</v>
      </c>
      <c r="BE134" s="4" t="s">
        <v>250</v>
      </c>
      <c r="BF134" s="4" t="s">
        <v>241</v>
      </c>
      <c r="BH134" s="4" t="s">
        <v>340</v>
      </c>
      <c r="BJ134" s="4" t="s">
        <v>273</v>
      </c>
      <c r="BK134" s="5" t="s">
        <v>274</v>
      </c>
      <c r="BL134" s="4" t="s">
        <v>275</v>
      </c>
      <c r="BM134" s="4" t="s">
        <v>275</v>
      </c>
      <c r="BN134" s="4" t="s">
        <v>241</v>
      </c>
      <c r="BO134" s="6">
        <f>0</f>
        <v>0</v>
      </c>
      <c r="BP134" s="6">
        <f>-481950</f>
        <v>-481950</v>
      </c>
      <c r="BQ134" s="4" t="s">
        <v>255</v>
      </c>
      <c r="BR134" s="4" t="s">
        <v>256</v>
      </c>
      <c r="BS134" s="4" t="s">
        <v>241</v>
      </c>
      <c r="BT134" s="4" t="s">
        <v>241</v>
      </c>
      <c r="BU134" s="4" t="s">
        <v>241</v>
      </c>
      <c r="BV134" s="4" t="s">
        <v>241</v>
      </c>
      <c r="CE134" s="4" t="s">
        <v>256</v>
      </c>
      <c r="CF134" s="4" t="s">
        <v>241</v>
      </c>
      <c r="CG134" s="4" t="s">
        <v>241</v>
      </c>
      <c r="CK134" s="4" t="s">
        <v>276</v>
      </c>
      <c r="CL134" s="4" t="s">
        <v>258</v>
      </c>
      <c r="CM134" s="4" t="s">
        <v>241</v>
      </c>
      <c r="CO134" s="4" t="s">
        <v>658</v>
      </c>
      <c r="CP134" s="5" t="s">
        <v>260</v>
      </c>
      <c r="CQ134" s="4" t="s">
        <v>261</v>
      </c>
      <c r="CR134" s="4" t="s">
        <v>262</v>
      </c>
      <c r="CS134" s="4" t="s">
        <v>278</v>
      </c>
      <c r="CT134" s="4" t="s">
        <v>241</v>
      </c>
      <c r="CU134" s="4">
        <v>2.7E-2</v>
      </c>
      <c r="CV134" s="4" t="s">
        <v>298</v>
      </c>
      <c r="CW134" s="4" t="s">
        <v>299</v>
      </c>
      <c r="CX134" s="4" t="s">
        <v>279</v>
      </c>
      <c r="CY134" s="6">
        <f>0</f>
        <v>0</v>
      </c>
      <c r="CZ134" s="6">
        <f>17850000</f>
        <v>17850000</v>
      </c>
      <c r="DA134" s="6">
        <f>7729050</f>
        <v>7729050</v>
      </c>
      <c r="DC134" s="4" t="s">
        <v>241</v>
      </c>
      <c r="DD134" s="4" t="s">
        <v>241</v>
      </c>
      <c r="DF134" s="4" t="s">
        <v>241</v>
      </c>
      <c r="DG134" s="6">
        <f>0</f>
        <v>0</v>
      </c>
      <c r="DI134" s="4" t="s">
        <v>241</v>
      </c>
      <c r="DJ134" s="4" t="s">
        <v>241</v>
      </c>
      <c r="DK134" s="4" t="s">
        <v>241</v>
      </c>
      <c r="DL134" s="4" t="s">
        <v>241</v>
      </c>
      <c r="DM134" s="4" t="s">
        <v>268</v>
      </c>
      <c r="DN134" s="4" t="s">
        <v>269</v>
      </c>
      <c r="DO134" s="6">
        <f>50</f>
        <v>50</v>
      </c>
      <c r="DP134" s="4" t="s">
        <v>241</v>
      </c>
      <c r="DQ134" s="4" t="s">
        <v>241</v>
      </c>
      <c r="DR134" s="4" t="s">
        <v>241</v>
      </c>
      <c r="DS134" s="4" t="s">
        <v>241</v>
      </c>
      <c r="DV134" s="4" t="s">
        <v>659</v>
      </c>
      <c r="DW134" s="4" t="s">
        <v>268</v>
      </c>
      <c r="GN134" s="4" t="s">
        <v>776</v>
      </c>
      <c r="HO134" s="4" t="s">
        <v>282</v>
      </c>
      <c r="HR134" s="4" t="s">
        <v>269</v>
      </c>
      <c r="HS134" s="4" t="s">
        <v>269</v>
      </c>
      <c r="HT134" s="4" t="s">
        <v>241</v>
      </c>
      <c r="HU134" s="4" t="s">
        <v>241</v>
      </c>
      <c r="HV134" s="4" t="s">
        <v>241</v>
      </c>
      <c r="HW134" s="4" t="s">
        <v>241</v>
      </c>
      <c r="HX134" s="4" t="s">
        <v>241</v>
      </c>
      <c r="HY134" s="4" t="s">
        <v>241</v>
      </c>
      <c r="HZ134" s="4" t="s">
        <v>241</v>
      </c>
      <c r="IA134" s="4" t="s">
        <v>241</v>
      </c>
      <c r="IB134" s="4" t="s">
        <v>241</v>
      </c>
      <c r="IC134" s="4" t="s">
        <v>241</v>
      </c>
      <c r="ID134" s="4" t="s">
        <v>241</v>
      </c>
      <c r="IE134" s="4" t="s">
        <v>241</v>
      </c>
      <c r="IF134" s="4" t="s">
        <v>241</v>
      </c>
    </row>
    <row r="135" spans="1:240" x14ac:dyDescent="0.4">
      <c r="A135" s="4">
        <v>2</v>
      </c>
      <c r="B135" s="4" t="s">
        <v>239</v>
      </c>
      <c r="C135" s="4">
        <v>1234</v>
      </c>
      <c r="D135" s="4">
        <v>1</v>
      </c>
      <c r="E135" s="4">
        <v>3</v>
      </c>
      <c r="F135" s="4" t="s">
        <v>240</v>
      </c>
      <c r="G135" s="4" t="s">
        <v>241</v>
      </c>
      <c r="H135" s="4" t="s">
        <v>241</v>
      </c>
      <c r="I135" s="4" t="s">
        <v>655</v>
      </c>
      <c r="J135" s="4" t="s">
        <v>608</v>
      </c>
      <c r="K135" s="4" t="s">
        <v>249</v>
      </c>
      <c r="L135" s="4" t="s">
        <v>621</v>
      </c>
      <c r="M135" s="5" t="s">
        <v>657</v>
      </c>
      <c r="N135" s="4" t="s">
        <v>621</v>
      </c>
      <c r="O135" s="6">
        <f>20</f>
        <v>20</v>
      </c>
      <c r="P135" s="4" t="s">
        <v>267</v>
      </c>
      <c r="Q135" s="6">
        <f>1472200</f>
        <v>1472200</v>
      </c>
      <c r="R135" s="6">
        <f>3400000</f>
        <v>3400000</v>
      </c>
      <c r="S135" s="5" t="s">
        <v>656</v>
      </c>
      <c r="T135" s="4" t="s">
        <v>300</v>
      </c>
      <c r="U135" s="4" t="s">
        <v>302</v>
      </c>
      <c r="V135" s="6">
        <f>91800</f>
        <v>91800</v>
      </c>
      <c r="W135" s="6">
        <f>1927800</f>
        <v>1927800</v>
      </c>
      <c r="X135" s="4" t="s">
        <v>292</v>
      </c>
      <c r="Y135" s="4" t="s">
        <v>242</v>
      </c>
      <c r="Z135" s="4" t="s">
        <v>306</v>
      </c>
      <c r="AA135" s="4" t="s">
        <v>241</v>
      </c>
      <c r="AD135" s="4" t="s">
        <v>241</v>
      </c>
      <c r="AE135" s="5" t="s">
        <v>241</v>
      </c>
      <c r="AF135" s="5" t="s">
        <v>241</v>
      </c>
      <c r="AH135" s="5" t="s">
        <v>241</v>
      </c>
      <c r="AI135" s="5" t="s">
        <v>244</v>
      </c>
      <c r="AJ135" s="4" t="s">
        <v>245</v>
      </c>
      <c r="AK135" s="4" t="s">
        <v>246</v>
      </c>
      <c r="AQ135" s="4" t="s">
        <v>241</v>
      </c>
      <c r="AR135" s="4" t="s">
        <v>241</v>
      </c>
      <c r="AS135" s="4" t="s">
        <v>241</v>
      </c>
      <c r="AT135" s="5" t="s">
        <v>241</v>
      </c>
      <c r="AU135" s="5" t="s">
        <v>241</v>
      </c>
      <c r="AV135" s="5" t="s">
        <v>241</v>
      </c>
      <c r="AY135" s="4" t="s">
        <v>271</v>
      </c>
      <c r="AZ135" s="4" t="s">
        <v>271</v>
      </c>
      <c r="BA135" s="4" t="s">
        <v>247</v>
      </c>
      <c r="BB135" s="4" t="s">
        <v>272</v>
      </c>
      <c r="BC135" s="4" t="s">
        <v>248</v>
      </c>
      <c r="BD135" s="4" t="s">
        <v>241</v>
      </c>
      <c r="BE135" s="4" t="s">
        <v>250</v>
      </c>
      <c r="BF135" s="4" t="s">
        <v>241</v>
      </c>
      <c r="BJ135" s="4" t="s">
        <v>273</v>
      </c>
      <c r="BK135" s="5" t="s">
        <v>274</v>
      </c>
      <c r="BL135" s="4" t="s">
        <v>275</v>
      </c>
      <c r="BM135" s="4" t="s">
        <v>275</v>
      </c>
      <c r="BN135" s="4" t="s">
        <v>241</v>
      </c>
      <c r="BO135" s="6">
        <f>0</f>
        <v>0</v>
      </c>
      <c r="BP135" s="6">
        <f>-91800</f>
        <v>-91800</v>
      </c>
      <c r="BQ135" s="4" t="s">
        <v>255</v>
      </c>
      <c r="BR135" s="4" t="s">
        <v>256</v>
      </c>
      <c r="BS135" s="4" t="s">
        <v>241</v>
      </c>
      <c r="BT135" s="4" t="s">
        <v>241</v>
      </c>
      <c r="BU135" s="4" t="s">
        <v>241</v>
      </c>
      <c r="BV135" s="4" t="s">
        <v>241</v>
      </c>
      <c r="CE135" s="4" t="s">
        <v>256</v>
      </c>
      <c r="CF135" s="4" t="s">
        <v>241</v>
      </c>
      <c r="CG135" s="4" t="s">
        <v>241</v>
      </c>
      <c r="CK135" s="4" t="s">
        <v>276</v>
      </c>
      <c r="CL135" s="4" t="s">
        <v>258</v>
      </c>
      <c r="CM135" s="4" t="s">
        <v>241</v>
      </c>
      <c r="CO135" s="4" t="s">
        <v>658</v>
      </c>
      <c r="CP135" s="5" t="s">
        <v>260</v>
      </c>
      <c r="CQ135" s="4" t="s">
        <v>261</v>
      </c>
      <c r="CR135" s="4" t="s">
        <v>262</v>
      </c>
      <c r="CS135" s="4" t="s">
        <v>278</v>
      </c>
      <c r="CT135" s="4" t="s">
        <v>241</v>
      </c>
      <c r="CU135" s="4">
        <v>2.7E-2</v>
      </c>
      <c r="CV135" s="4" t="s">
        <v>298</v>
      </c>
      <c r="CW135" s="4" t="s">
        <v>263</v>
      </c>
      <c r="CX135" s="4" t="s">
        <v>279</v>
      </c>
      <c r="CY135" s="6">
        <f>0</f>
        <v>0</v>
      </c>
      <c r="CZ135" s="6">
        <f>3400000</f>
        <v>3400000</v>
      </c>
      <c r="DA135" s="6">
        <f>1472200</f>
        <v>1472200</v>
      </c>
      <c r="DC135" s="4" t="s">
        <v>241</v>
      </c>
      <c r="DD135" s="4" t="s">
        <v>241</v>
      </c>
      <c r="DF135" s="4" t="s">
        <v>241</v>
      </c>
      <c r="DG135" s="6">
        <f>0</f>
        <v>0</v>
      </c>
      <c r="DI135" s="4" t="s">
        <v>241</v>
      </c>
      <c r="DJ135" s="4" t="s">
        <v>241</v>
      </c>
      <c r="DK135" s="4" t="s">
        <v>241</v>
      </c>
      <c r="DL135" s="4" t="s">
        <v>241</v>
      </c>
      <c r="DM135" s="4" t="s">
        <v>268</v>
      </c>
      <c r="DN135" s="4" t="s">
        <v>269</v>
      </c>
      <c r="DO135" s="6">
        <f>20</f>
        <v>20</v>
      </c>
      <c r="DP135" s="4" t="s">
        <v>241</v>
      </c>
      <c r="DQ135" s="4" t="s">
        <v>241</v>
      </c>
      <c r="DR135" s="4" t="s">
        <v>241</v>
      </c>
      <c r="DS135" s="4" t="s">
        <v>241</v>
      </c>
      <c r="DV135" s="4" t="s">
        <v>659</v>
      </c>
      <c r="DW135" s="4" t="s">
        <v>289</v>
      </c>
      <c r="GN135" s="4" t="s">
        <v>660</v>
      </c>
      <c r="HO135" s="4" t="s">
        <v>282</v>
      </c>
      <c r="HR135" s="4" t="s">
        <v>269</v>
      </c>
      <c r="HS135" s="4" t="s">
        <v>269</v>
      </c>
      <c r="HT135" s="4" t="s">
        <v>241</v>
      </c>
      <c r="HU135" s="4" t="s">
        <v>241</v>
      </c>
      <c r="HV135" s="4" t="s">
        <v>241</v>
      </c>
      <c r="HW135" s="4" t="s">
        <v>241</v>
      </c>
      <c r="HX135" s="4" t="s">
        <v>241</v>
      </c>
      <c r="HY135" s="4" t="s">
        <v>241</v>
      </c>
      <c r="HZ135" s="4" t="s">
        <v>241</v>
      </c>
      <c r="IA135" s="4" t="s">
        <v>241</v>
      </c>
      <c r="IB135" s="4" t="s">
        <v>241</v>
      </c>
      <c r="IC135" s="4" t="s">
        <v>241</v>
      </c>
      <c r="ID135" s="4" t="s">
        <v>241</v>
      </c>
      <c r="IE135" s="4" t="s">
        <v>241</v>
      </c>
      <c r="IF135" s="4" t="s">
        <v>241</v>
      </c>
    </row>
    <row r="136" spans="1:240" x14ac:dyDescent="0.4">
      <c r="A136" s="4">
        <v>2</v>
      </c>
      <c r="B136" s="4" t="s">
        <v>239</v>
      </c>
      <c r="C136" s="4">
        <v>1235</v>
      </c>
      <c r="D136" s="4">
        <v>1</v>
      </c>
      <c r="E136" s="4">
        <v>3</v>
      </c>
      <c r="F136" s="4" t="s">
        <v>240</v>
      </c>
      <c r="G136" s="4" t="s">
        <v>241</v>
      </c>
      <c r="H136" s="4" t="s">
        <v>241</v>
      </c>
      <c r="I136" s="4" t="s">
        <v>655</v>
      </c>
      <c r="J136" s="4" t="s">
        <v>608</v>
      </c>
      <c r="K136" s="4" t="s">
        <v>249</v>
      </c>
      <c r="L136" s="4" t="s">
        <v>308</v>
      </c>
      <c r="M136" s="5" t="s">
        <v>657</v>
      </c>
      <c r="N136" s="4" t="s">
        <v>308</v>
      </c>
      <c r="O136" s="6">
        <f>17.92</f>
        <v>17.920000000000002</v>
      </c>
      <c r="P136" s="4" t="s">
        <v>267</v>
      </c>
      <c r="Q136" s="6">
        <f>4865133</f>
        <v>4865133</v>
      </c>
      <c r="R136" s="6">
        <f>11235840</f>
        <v>11235840</v>
      </c>
      <c r="S136" s="5" t="s">
        <v>656</v>
      </c>
      <c r="T136" s="4" t="s">
        <v>300</v>
      </c>
      <c r="U136" s="4" t="s">
        <v>302</v>
      </c>
      <c r="V136" s="6">
        <f>303367</f>
        <v>303367</v>
      </c>
      <c r="W136" s="6">
        <f>6370707</f>
        <v>6370707</v>
      </c>
      <c r="X136" s="4" t="s">
        <v>292</v>
      </c>
      <c r="Y136" s="4" t="s">
        <v>242</v>
      </c>
      <c r="Z136" s="4" t="s">
        <v>306</v>
      </c>
      <c r="AA136" s="4" t="s">
        <v>241</v>
      </c>
      <c r="AD136" s="4" t="s">
        <v>241</v>
      </c>
      <c r="AE136" s="5" t="s">
        <v>241</v>
      </c>
      <c r="AF136" s="5" t="s">
        <v>241</v>
      </c>
      <c r="AH136" s="5" t="s">
        <v>241</v>
      </c>
      <c r="AI136" s="5" t="s">
        <v>244</v>
      </c>
      <c r="AJ136" s="4" t="s">
        <v>245</v>
      </c>
      <c r="AK136" s="4" t="s">
        <v>246</v>
      </c>
      <c r="AQ136" s="4" t="s">
        <v>241</v>
      </c>
      <c r="AR136" s="4" t="s">
        <v>241</v>
      </c>
      <c r="AS136" s="4" t="s">
        <v>241</v>
      </c>
      <c r="AT136" s="5" t="s">
        <v>241</v>
      </c>
      <c r="AU136" s="5" t="s">
        <v>241</v>
      </c>
      <c r="AV136" s="5" t="s">
        <v>241</v>
      </c>
      <c r="AY136" s="4" t="s">
        <v>271</v>
      </c>
      <c r="AZ136" s="4" t="s">
        <v>271</v>
      </c>
      <c r="BA136" s="4" t="s">
        <v>247</v>
      </c>
      <c r="BB136" s="4" t="s">
        <v>272</v>
      </c>
      <c r="BC136" s="4" t="s">
        <v>248</v>
      </c>
      <c r="BD136" s="4" t="s">
        <v>241</v>
      </c>
      <c r="BE136" s="4" t="s">
        <v>250</v>
      </c>
      <c r="BF136" s="4" t="s">
        <v>241</v>
      </c>
      <c r="BJ136" s="4" t="s">
        <v>273</v>
      </c>
      <c r="BK136" s="5" t="s">
        <v>274</v>
      </c>
      <c r="BL136" s="4" t="s">
        <v>275</v>
      </c>
      <c r="BM136" s="4" t="s">
        <v>275</v>
      </c>
      <c r="BN136" s="4" t="s">
        <v>241</v>
      </c>
      <c r="BO136" s="6">
        <f>0</f>
        <v>0</v>
      </c>
      <c r="BP136" s="6">
        <f>-303367</f>
        <v>-303367</v>
      </c>
      <c r="BQ136" s="4" t="s">
        <v>255</v>
      </c>
      <c r="BR136" s="4" t="s">
        <v>256</v>
      </c>
      <c r="BS136" s="4" t="s">
        <v>241</v>
      </c>
      <c r="BT136" s="4" t="s">
        <v>241</v>
      </c>
      <c r="BU136" s="4" t="s">
        <v>241</v>
      </c>
      <c r="BV136" s="4" t="s">
        <v>241</v>
      </c>
      <c r="CE136" s="4" t="s">
        <v>256</v>
      </c>
      <c r="CF136" s="4" t="s">
        <v>241</v>
      </c>
      <c r="CG136" s="4" t="s">
        <v>241</v>
      </c>
      <c r="CK136" s="4" t="s">
        <v>276</v>
      </c>
      <c r="CL136" s="4" t="s">
        <v>258</v>
      </c>
      <c r="CM136" s="4" t="s">
        <v>241</v>
      </c>
      <c r="CO136" s="4" t="s">
        <v>658</v>
      </c>
      <c r="CP136" s="5" t="s">
        <v>260</v>
      </c>
      <c r="CQ136" s="4" t="s">
        <v>261</v>
      </c>
      <c r="CR136" s="4" t="s">
        <v>262</v>
      </c>
      <c r="CS136" s="4" t="s">
        <v>278</v>
      </c>
      <c r="CT136" s="4" t="s">
        <v>241</v>
      </c>
      <c r="CU136" s="4">
        <v>2.7E-2</v>
      </c>
      <c r="CV136" s="4" t="s">
        <v>298</v>
      </c>
      <c r="CW136" s="4" t="s">
        <v>299</v>
      </c>
      <c r="CX136" s="4" t="s">
        <v>279</v>
      </c>
      <c r="CY136" s="6">
        <f>0</f>
        <v>0</v>
      </c>
      <c r="CZ136" s="6">
        <f>11235840</f>
        <v>11235840</v>
      </c>
      <c r="DA136" s="6">
        <f>4865133</f>
        <v>4865133</v>
      </c>
      <c r="DC136" s="4" t="s">
        <v>241</v>
      </c>
      <c r="DD136" s="4" t="s">
        <v>241</v>
      </c>
      <c r="DF136" s="4" t="s">
        <v>241</v>
      </c>
      <c r="DG136" s="6">
        <f>0</f>
        <v>0</v>
      </c>
      <c r="DI136" s="4" t="s">
        <v>241</v>
      </c>
      <c r="DJ136" s="4" t="s">
        <v>241</v>
      </c>
      <c r="DK136" s="4" t="s">
        <v>241</v>
      </c>
      <c r="DL136" s="4" t="s">
        <v>241</v>
      </c>
      <c r="DM136" s="4" t="s">
        <v>268</v>
      </c>
      <c r="DN136" s="4" t="s">
        <v>269</v>
      </c>
      <c r="DO136" s="6">
        <f>17.92</f>
        <v>17.920000000000002</v>
      </c>
      <c r="DP136" s="4" t="s">
        <v>241</v>
      </c>
      <c r="DQ136" s="4" t="s">
        <v>241</v>
      </c>
      <c r="DR136" s="4" t="s">
        <v>241</v>
      </c>
      <c r="DS136" s="4" t="s">
        <v>241</v>
      </c>
      <c r="DV136" s="4" t="s">
        <v>659</v>
      </c>
      <c r="DW136" s="4" t="s">
        <v>281</v>
      </c>
      <c r="GN136" s="4" t="s">
        <v>775</v>
      </c>
      <c r="HO136" s="4" t="s">
        <v>282</v>
      </c>
      <c r="HR136" s="4" t="s">
        <v>269</v>
      </c>
      <c r="HS136" s="4" t="s">
        <v>269</v>
      </c>
      <c r="HT136" s="4" t="s">
        <v>241</v>
      </c>
      <c r="HU136" s="4" t="s">
        <v>241</v>
      </c>
      <c r="HV136" s="4" t="s">
        <v>241</v>
      </c>
      <c r="HW136" s="4" t="s">
        <v>241</v>
      </c>
      <c r="HX136" s="4" t="s">
        <v>241</v>
      </c>
      <c r="HY136" s="4" t="s">
        <v>241</v>
      </c>
      <c r="HZ136" s="4" t="s">
        <v>241</v>
      </c>
      <c r="IA136" s="4" t="s">
        <v>241</v>
      </c>
      <c r="IB136" s="4" t="s">
        <v>241</v>
      </c>
      <c r="IC136" s="4" t="s">
        <v>241</v>
      </c>
      <c r="ID136" s="4" t="s">
        <v>241</v>
      </c>
      <c r="IE136" s="4" t="s">
        <v>241</v>
      </c>
      <c r="IF136" s="4" t="s">
        <v>241</v>
      </c>
    </row>
    <row r="137" spans="1:240" x14ac:dyDescent="0.4">
      <c r="A137" s="4">
        <v>2</v>
      </c>
      <c r="B137" s="4" t="s">
        <v>239</v>
      </c>
      <c r="C137" s="4">
        <v>1236</v>
      </c>
      <c r="D137" s="4">
        <v>1</v>
      </c>
      <c r="E137" s="4">
        <v>3</v>
      </c>
      <c r="F137" s="4" t="s">
        <v>240</v>
      </c>
      <c r="G137" s="4" t="s">
        <v>241</v>
      </c>
      <c r="H137" s="4" t="s">
        <v>241</v>
      </c>
      <c r="I137" s="4" t="s">
        <v>752</v>
      </c>
      <c r="J137" s="4" t="s">
        <v>608</v>
      </c>
      <c r="K137" s="4" t="s">
        <v>249</v>
      </c>
      <c r="L137" s="4" t="s">
        <v>308</v>
      </c>
      <c r="M137" s="5" t="s">
        <v>700</v>
      </c>
      <c r="N137" s="4" t="s">
        <v>308</v>
      </c>
      <c r="O137" s="6">
        <f>19.44</f>
        <v>19.440000000000001</v>
      </c>
      <c r="P137" s="4" t="s">
        <v>267</v>
      </c>
      <c r="Q137" s="6">
        <f>1036416</f>
        <v>1036416</v>
      </c>
      <c r="R137" s="6">
        <f>7620480</f>
        <v>7620480</v>
      </c>
      <c r="S137" s="5" t="s">
        <v>695</v>
      </c>
      <c r="T137" s="4" t="s">
        <v>300</v>
      </c>
      <c r="U137" s="4" t="s">
        <v>642</v>
      </c>
      <c r="V137" s="6">
        <f>205752</f>
        <v>205752</v>
      </c>
      <c r="W137" s="6">
        <f>6584064</f>
        <v>6584064</v>
      </c>
      <c r="X137" s="4" t="s">
        <v>292</v>
      </c>
      <c r="Y137" s="4" t="s">
        <v>242</v>
      </c>
      <c r="Z137" s="4" t="s">
        <v>306</v>
      </c>
      <c r="AA137" s="4" t="s">
        <v>241</v>
      </c>
      <c r="AD137" s="4" t="s">
        <v>241</v>
      </c>
      <c r="AE137" s="5" t="s">
        <v>241</v>
      </c>
      <c r="AF137" s="5" t="s">
        <v>241</v>
      </c>
      <c r="AH137" s="5" t="s">
        <v>241</v>
      </c>
      <c r="AI137" s="5" t="s">
        <v>244</v>
      </c>
      <c r="AJ137" s="4" t="s">
        <v>245</v>
      </c>
      <c r="AK137" s="4" t="s">
        <v>246</v>
      </c>
      <c r="AQ137" s="4" t="s">
        <v>241</v>
      </c>
      <c r="AR137" s="4" t="s">
        <v>241</v>
      </c>
      <c r="AS137" s="4" t="s">
        <v>241</v>
      </c>
      <c r="AT137" s="5" t="s">
        <v>241</v>
      </c>
      <c r="AU137" s="5" t="s">
        <v>241</v>
      </c>
      <c r="AV137" s="5" t="s">
        <v>241</v>
      </c>
      <c r="AY137" s="4" t="s">
        <v>271</v>
      </c>
      <c r="AZ137" s="4" t="s">
        <v>271</v>
      </c>
      <c r="BA137" s="4" t="s">
        <v>247</v>
      </c>
      <c r="BB137" s="4" t="s">
        <v>272</v>
      </c>
      <c r="BC137" s="4" t="s">
        <v>248</v>
      </c>
      <c r="BD137" s="4" t="s">
        <v>241</v>
      </c>
      <c r="BE137" s="4" t="s">
        <v>250</v>
      </c>
      <c r="BF137" s="4" t="s">
        <v>241</v>
      </c>
      <c r="BJ137" s="4" t="s">
        <v>273</v>
      </c>
      <c r="BK137" s="5" t="s">
        <v>274</v>
      </c>
      <c r="BL137" s="4" t="s">
        <v>275</v>
      </c>
      <c r="BM137" s="4" t="s">
        <v>275</v>
      </c>
      <c r="BN137" s="4" t="s">
        <v>241</v>
      </c>
      <c r="BO137" s="6">
        <f>0</f>
        <v>0</v>
      </c>
      <c r="BP137" s="6">
        <f>-205752</f>
        <v>-205752</v>
      </c>
      <c r="BQ137" s="4" t="s">
        <v>255</v>
      </c>
      <c r="BR137" s="4" t="s">
        <v>256</v>
      </c>
      <c r="BS137" s="4" t="s">
        <v>241</v>
      </c>
      <c r="BT137" s="4" t="s">
        <v>241</v>
      </c>
      <c r="BU137" s="4" t="s">
        <v>241</v>
      </c>
      <c r="BV137" s="4" t="s">
        <v>241</v>
      </c>
      <c r="CE137" s="4" t="s">
        <v>256</v>
      </c>
      <c r="CF137" s="4" t="s">
        <v>241</v>
      </c>
      <c r="CG137" s="4" t="s">
        <v>241</v>
      </c>
      <c r="CK137" s="4" t="s">
        <v>276</v>
      </c>
      <c r="CL137" s="4" t="s">
        <v>258</v>
      </c>
      <c r="CM137" s="4" t="s">
        <v>241</v>
      </c>
      <c r="CO137" s="4" t="s">
        <v>452</v>
      </c>
      <c r="CP137" s="5" t="s">
        <v>260</v>
      </c>
      <c r="CQ137" s="4" t="s">
        <v>261</v>
      </c>
      <c r="CR137" s="4" t="s">
        <v>262</v>
      </c>
      <c r="CS137" s="4" t="s">
        <v>278</v>
      </c>
      <c r="CT137" s="4" t="s">
        <v>241</v>
      </c>
      <c r="CU137" s="4">
        <v>2.7E-2</v>
      </c>
      <c r="CV137" s="4" t="s">
        <v>298</v>
      </c>
      <c r="CW137" s="4" t="s">
        <v>299</v>
      </c>
      <c r="CX137" s="4" t="s">
        <v>279</v>
      </c>
      <c r="CY137" s="6">
        <f>0</f>
        <v>0</v>
      </c>
      <c r="CZ137" s="6">
        <f>7620480</f>
        <v>7620480</v>
      </c>
      <c r="DA137" s="6">
        <f>1036416</f>
        <v>1036416</v>
      </c>
      <c r="DC137" s="4" t="s">
        <v>241</v>
      </c>
      <c r="DD137" s="4" t="s">
        <v>241</v>
      </c>
      <c r="DF137" s="4" t="s">
        <v>241</v>
      </c>
      <c r="DG137" s="6">
        <f>0</f>
        <v>0</v>
      </c>
      <c r="DI137" s="4" t="s">
        <v>241</v>
      </c>
      <c r="DJ137" s="4" t="s">
        <v>241</v>
      </c>
      <c r="DK137" s="4" t="s">
        <v>241</v>
      </c>
      <c r="DL137" s="4" t="s">
        <v>241</v>
      </c>
      <c r="DM137" s="4" t="s">
        <v>268</v>
      </c>
      <c r="DN137" s="4" t="s">
        <v>269</v>
      </c>
      <c r="DO137" s="6">
        <f>19.44</f>
        <v>19.440000000000001</v>
      </c>
      <c r="DP137" s="4" t="s">
        <v>241</v>
      </c>
      <c r="DQ137" s="4" t="s">
        <v>241</v>
      </c>
      <c r="DR137" s="4" t="s">
        <v>241</v>
      </c>
      <c r="DS137" s="4" t="s">
        <v>241</v>
      </c>
      <c r="DV137" s="4" t="s">
        <v>753</v>
      </c>
      <c r="DW137" s="4" t="s">
        <v>268</v>
      </c>
      <c r="GN137" s="4" t="s">
        <v>774</v>
      </c>
      <c r="HO137" s="4" t="s">
        <v>282</v>
      </c>
      <c r="HR137" s="4" t="s">
        <v>269</v>
      </c>
      <c r="HS137" s="4" t="s">
        <v>269</v>
      </c>
      <c r="HT137" s="4" t="s">
        <v>241</v>
      </c>
      <c r="HU137" s="4" t="s">
        <v>241</v>
      </c>
      <c r="HV137" s="4" t="s">
        <v>241</v>
      </c>
      <c r="HW137" s="4" t="s">
        <v>241</v>
      </c>
      <c r="HX137" s="4" t="s">
        <v>241</v>
      </c>
      <c r="HY137" s="4" t="s">
        <v>241</v>
      </c>
      <c r="HZ137" s="4" t="s">
        <v>241</v>
      </c>
      <c r="IA137" s="4" t="s">
        <v>241</v>
      </c>
      <c r="IB137" s="4" t="s">
        <v>241</v>
      </c>
      <c r="IC137" s="4" t="s">
        <v>241</v>
      </c>
      <c r="ID137" s="4" t="s">
        <v>241</v>
      </c>
      <c r="IE137" s="4" t="s">
        <v>241</v>
      </c>
      <c r="IF137" s="4" t="s">
        <v>241</v>
      </c>
    </row>
    <row r="138" spans="1:240" x14ac:dyDescent="0.4">
      <c r="A138" s="4">
        <v>2</v>
      </c>
      <c r="B138" s="4" t="s">
        <v>239</v>
      </c>
      <c r="C138" s="4">
        <v>1237</v>
      </c>
      <c r="D138" s="4">
        <v>1</v>
      </c>
      <c r="E138" s="4">
        <v>3</v>
      </c>
      <c r="F138" s="4" t="s">
        <v>240</v>
      </c>
      <c r="G138" s="4" t="s">
        <v>241</v>
      </c>
      <c r="H138" s="4" t="s">
        <v>241</v>
      </c>
      <c r="I138" s="4" t="s">
        <v>752</v>
      </c>
      <c r="J138" s="4" t="s">
        <v>608</v>
      </c>
      <c r="K138" s="4" t="s">
        <v>249</v>
      </c>
      <c r="L138" s="4" t="s">
        <v>706</v>
      </c>
      <c r="M138" s="5" t="s">
        <v>700</v>
      </c>
      <c r="N138" s="4" t="s">
        <v>706</v>
      </c>
      <c r="O138" s="6">
        <f>284.97</f>
        <v>284.97000000000003</v>
      </c>
      <c r="P138" s="4" t="s">
        <v>267</v>
      </c>
      <c r="Q138" s="6">
        <f>10464108</f>
        <v>10464108</v>
      </c>
      <c r="R138" s="6">
        <f>76941900</f>
        <v>76941900</v>
      </c>
      <c r="S138" s="5" t="s">
        <v>695</v>
      </c>
      <c r="T138" s="4" t="s">
        <v>300</v>
      </c>
      <c r="U138" s="4" t="s">
        <v>642</v>
      </c>
      <c r="V138" s="6">
        <f>2077431</f>
        <v>2077431</v>
      </c>
      <c r="W138" s="6">
        <f>66477792</f>
        <v>66477792</v>
      </c>
      <c r="X138" s="4" t="s">
        <v>292</v>
      </c>
      <c r="Y138" s="4" t="s">
        <v>242</v>
      </c>
      <c r="Z138" s="4" t="s">
        <v>306</v>
      </c>
      <c r="AA138" s="4" t="s">
        <v>241</v>
      </c>
      <c r="AD138" s="4" t="s">
        <v>241</v>
      </c>
      <c r="AE138" s="5" t="s">
        <v>241</v>
      </c>
      <c r="AF138" s="5" t="s">
        <v>241</v>
      </c>
      <c r="AH138" s="5" t="s">
        <v>241</v>
      </c>
      <c r="AI138" s="5" t="s">
        <v>244</v>
      </c>
      <c r="AJ138" s="4" t="s">
        <v>245</v>
      </c>
      <c r="AK138" s="4" t="s">
        <v>246</v>
      </c>
      <c r="AQ138" s="4" t="s">
        <v>241</v>
      </c>
      <c r="AR138" s="4" t="s">
        <v>241</v>
      </c>
      <c r="AS138" s="4" t="s">
        <v>241</v>
      </c>
      <c r="AT138" s="5" t="s">
        <v>241</v>
      </c>
      <c r="AU138" s="5" t="s">
        <v>241</v>
      </c>
      <c r="AV138" s="5" t="s">
        <v>241</v>
      </c>
      <c r="AY138" s="4" t="s">
        <v>271</v>
      </c>
      <c r="AZ138" s="4" t="s">
        <v>271</v>
      </c>
      <c r="BA138" s="4" t="s">
        <v>247</v>
      </c>
      <c r="BB138" s="4" t="s">
        <v>272</v>
      </c>
      <c r="BC138" s="4" t="s">
        <v>248</v>
      </c>
      <c r="BD138" s="4" t="s">
        <v>241</v>
      </c>
      <c r="BE138" s="4" t="s">
        <v>250</v>
      </c>
      <c r="BF138" s="4" t="s">
        <v>241</v>
      </c>
      <c r="BJ138" s="4" t="s">
        <v>273</v>
      </c>
      <c r="BK138" s="5" t="s">
        <v>274</v>
      </c>
      <c r="BL138" s="4" t="s">
        <v>275</v>
      </c>
      <c r="BM138" s="4" t="s">
        <v>275</v>
      </c>
      <c r="BN138" s="4" t="s">
        <v>241</v>
      </c>
      <c r="BO138" s="6">
        <f>0</f>
        <v>0</v>
      </c>
      <c r="BP138" s="6">
        <f>-2077431</f>
        <v>-2077431</v>
      </c>
      <c r="BQ138" s="4" t="s">
        <v>255</v>
      </c>
      <c r="BR138" s="4" t="s">
        <v>256</v>
      </c>
      <c r="BS138" s="4" t="s">
        <v>241</v>
      </c>
      <c r="BT138" s="4" t="s">
        <v>241</v>
      </c>
      <c r="BU138" s="4" t="s">
        <v>241</v>
      </c>
      <c r="BV138" s="4" t="s">
        <v>241</v>
      </c>
      <c r="CE138" s="4" t="s">
        <v>256</v>
      </c>
      <c r="CF138" s="4" t="s">
        <v>241</v>
      </c>
      <c r="CG138" s="4" t="s">
        <v>241</v>
      </c>
      <c r="CK138" s="4" t="s">
        <v>276</v>
      </c>
      <c r="CL138" s="4" t="s">
        <v>258</v>
      </c>
      <c r="CM138" s="4" t="s">
        <v>241</v>
      </c>
      <c r="CO138" s="4" t="s">
        <v>452</v>
      </c>
      <c r="CP138" s="5" t="s">
        <v>260</v>
      </c>
      <c r="CQ138" s="4" t="s">
        <v>261</v>
      </c>
      <c r="CR138" s="4" t="s">
        <v>262</v>
      </c>
      <c r="CS138" s="4" t="s">
        <v>278</v>
      </c>
      <c r="CT138" s="4" t="s">
        <v>241</v>
      </c>
      <c r="CU138" s="4">
        <v>2.7E-2</v>
      </c>
      <c r="CV138" s="4" t="s">
        <v>298</v>
      </c>
      <c r="CW138" s="4" t="s">
        <v>705</v>
      </c>
      <c r="CX138" s="4" t="s">
        <v>683</v>
      </c>
      <c r="CY138" s="6">
        <f>0</f>
        <v>0</v>
      </c>
      <c r="CZ138" s="6">
        <f>76941900</f>
        <v>76941900</v>
      </c>
      <c r="DA138" s="6">
        <f>10464108</f>
        <v>10464108</v>
      </c>
      <c r="DC138" s="4" t="s">
        <v>241</v>
      </c>
      <c r="DD138" s="4" t="s">
        <v>241</v>
      </c>
      <c r="DF138" s="4" t="s">
        <v>241</v>
      </c>
      <c r="DG138" s="6">
        <f>0</f>
        <v>0</v>
      </c>
      <c r="DI138" s="4" t="s">
        <v>241</v>
      </c>
      <c r="DJ138" s="4" t="s">
        <v>241</v>
      </c>
      <c r="DK138" s="4" t="s">
        <v>241</v>
      </c>
      <c r="DL138" s="4" t="s">
        <v>241</v>
      </c>
      <c r="DM138" s="4" t="s">
        <v>289</v>
      </c>
      <c r="DN138" s="4" t="s">
        <v>269</v>
      </c>
      <c r="DO138" s="6">
        <f>284.97</f>
        <v>284.97000000000003</v>
      </c>
      <c r="DP138" s="4" t="s">
        <v>241</v>
      </c>
      <c r="DQ138" s="4" t="s">
        <v>241</v>
      </c>
      <c r="DR138" s="4" t="s">
        <v>241</v>
      </c>
      <c r="DS138" s="4" t="s">
        <v>241</v>
      </c>
      <c r="DV138" s="4" t="s">
        <v>753</v>
      </c>
      <c r="DW138" s="4" t="s">
        <v>289</v>
      </c>
      <c r="GN138" s="4" t="s">
        <v>754</v>
      </c>
      <c r="HO138" s="4" t="s">
        <v>282</v>
      </c>
      <c r="HR138" s="4" t="s">
        <v>269</v>
      </c>
      <c r="HS138" s="4" t="s">
        <v>269</v>
      </c>
      <c r="HT138" s="4" t="s">
        <v>241</v>
      </c>
      <c r="HU138" s="4" t="s">
        <v>241</v>
      </c>
      <c r="HV138" s="4" t="s">
        <v>241</v>
      </c>
      <c r="HW138" s="4" t="s">
        <v>241</v>
      </c>
      <c r="HX138" s="4" t="s">
        <v>241</v>
      </c>
      <c r="HY138" s="4" t="s">
        <v>241</v>
      </c>
      <c r="HZ138" s="4" t="s">
        <v>241</v>
      </c>
      <c r="IA138" s="4" t="s">
        <v>241</v>
      </c>
      <c r="IB138" s="4" t="s">
        <v>241</v>
      </c>
      <c r="IC138" s="4" t="s">
        <v>241</v>
      </c>
      <c r="ID138" s="4" t="s">
        <v>241</v>
      </c>
      <c r="IE138" s="4" t="s">
        <v>241</v>
      </c>
      <c r="IF138" s="4" t="s">
        <v>241</v>
      </c>
    </row>
    <row r="139" spans="1:240" x14ac:dyDescent="0.4">
      <c r="A139" s="4">
        <v>2</v>
      </c>
      <c r="B139" s="4" t="s">
        <v>239</v>
      </c>
      <c r="C139" s="4">
        <v>1238</v>
      </c>
      <c r="D139" s="4">
        <v>1</v>
      </c>
      <c r="E139" s="4">
        <v>1</v>
      </c>
      <c r="F139" s="4" t="s">
        <v>240</v>
      </c>
      <c r="G139" s="4" t="s">
        <v>241</v>
      </c>
      <c r="H139" s="4" t="s">
        <v>241</v>
      </c>
      <c r="I139" s="4" t="s">
        <v>607</v>
      </c>
      <c r="J139" s="4" t="s">
        <v>608</v>
      </c>
      <c r="K139" s="4" t="s">
        <v>249</v>
      </c>
      <c r="L139" s="4" t="s">
        <v>308</v>
      </c>
      <c r="M139" s="5" t="s">
        <v>611</v>
      </c>
      <c r="N139" s="4" t="s">
        <v>308</v>
      </c>
      <c r="O139" s="6">
        <f>46.23</f>
        <v>46.23</v>
      </c>
      <c r="P139" s="4" t="s">
        <v>267</v>
      </c>
      <c r="Q139" s="6">
        <f>1</f>
        <v>1</v>
      </c>
      <c r="R139" s="6">
        <f>15810660</f>
        <v>15810660</v>
      </c>
      <c r="S139" s="5" t="s">
        <v>710</v>
      </c>
      <c r="T139" s="4" t="s">
        <v>322</v>
      </c>
      <c r="U139" s="4" t="s">
        <v>322</v>
      </c>
      <c r="W139" s="6">
        <f>15810659</f>
        <v>15810659</v>
      </c>
      <c r="X139" s="4" t="s">
        <v>292</v>
      </c>
      <c r="Y139" s="4" t="s">
        <v>242</v>
      </c>
      <c r="Z139" s="4" t="s">
        <v>306</v>
      </c>
      <c r="AA139" s="4" t="s">
        <v>241</v>
      </c>
      <c r="AD139" s="4" t="s">
        <v>241</v>
      </c>
      <c r="AF139" s="5" t="s">
        <v>241</v>
      </c>
      <c r="AI139" s="5" t="s">
        <v>610</v>
      </c>
      <c r="AJ139" s="4" t="s">
        <v>245</v>
      </c>
      <c r="AK139" s="4" t="s">
        <v>246</v>
      </c>
      <c r="BA139" s="4" t="s">
        <v>247</v>
      </c>
      <c r="BB139" s="4" t="s">
        <v>241</v>
      </c>
      <c r="BC139" s="4" t="s">
        <v>248</v>
      </c>
      <c r="BD139" s="4" t="s">
        <v>241</v>
      </c>
      <c r="BE139" s="4" t="s">
        <v>250</v>
      </c>
      <c r="BF139" s="4" t="s">
        <v>241</v>
      </c>
      <c r="BJ139" s="4" t="s">
        <v>433</v>
      </c>
      <c r="BK139" s="5" t="s">
        <v>610</v>
      </c>
      <c r="BL139" s="4" t="s">
        <v>253</v>
      </c>
      <c r="BM139" s="4" t="s">
        <v>275</v>
      </c>
      <c r="BN139" s="4" t="s">
        <v>241</v>
      </c>
      <c r="BO139" s="6">
        <f>0</f>
        <v>0</v>
      </c>
      <c r="BP139" s="6">
        <f>0</f>
        <v>0</v>
      </c>
      <c r="BQ139" s="4" t="s">
        <v>255</v>
      </c>
      <c r="BR139" s="4" t="s">
        <v>256</v>
      </c>
      <c r="CF139" s="4" t="s">
        <v>241</v>
      </c>
      <c r="CG139" s="4" t="s">
        <v>241</v>
      </c>
      <c r="CK139" s="4" t="s">
        <v>276</v>
      </c>
      <c r="CL139" s="4" t="s">
        <v>258</v>
      </c>
      <c r="CM139" s="4" t="s">
        <v>241</v>
      </c>
      <c r="CO139" s="4" t="s">
        <v>711</v>
      </c>
      <c r="CP139" s="5" t="s">
        <v>260</v>
      </c>
      <c r="CQ139" s="4" t="s">
        <v>261</v>
      </c>
      <c r="CR139" s="4" t="s">
        <v>262</v>
      </c>
      <c r="CS139" s="4" t="s">
        <v>241</v>
      </c>
      <c r="CT139" s="4" t="s">
        <v>241</v>
      </c>
      <c r="CU139" s="4">
        <v>0</v>
      </c>
      <c r="CV139" s="4" t="s">
        <v>298</v>
      </c>
      <c r="CW139" s="4" t="s">
        <v>299</v>
      </c>
      <c r="CX139" s="4" t="s">
        <v>321</v>
      </c>
      <c r="CZ139" s="6">
        <f>15810660</f>
        <v>15810660</v>
      </c>
      <c r="DA139" s="6">
        <f>0</f>
        <v>0</v>
      </c>
      <c r="DC139" s="4" t="s">
        <v>241</v>
      </c>
      <c r="DD139" s="4" t="s">
        <v>241</v>
      </c>
      <c r="DF139" s="4" t="s">
        <v>241</v>
      </c>
      <c r="DI139" s="4" t="s">
        <v>241</v>
      </c>
      <c r="DJ139" s="4" t="s">
        <v>241</v>
      </c>
      <c r="DK139" s="4" t="s">
        <v>241</v>
      </c>
      <c r="DL139" s="4" t="s">
        <v>241</v>
      </c>
      <c r="DM139" s="4" t="s">
        <v>268</v>
      </c>
      <c r="DN139" s="4" t="s">
        <v>269</v>
      </c>
      <c r="DO139" s="6">
        <f>46.23</f>
        <v>46.23</v>
      </c>
      <c r="DP139" s="4" t="s">
        <v>241</v>
      </c>
      <c r="DQ139" s="4" t="s">
        <v>241</v>
      </c>
      <c r="DR139" s="4" t="s">
        <v>241</v>
      </c>
      <c r="DS139" s="4" t="s">
        <v>241</v>
      </c>
      <c r="DV139" s="4" t="s">
        <v>612</v>
      </c>
      <c r="DW139" s="4" t="s">
        <v>268</v>
      </c>
      <c r="HO139" s="4" t="s">
        <v>282</v>
      </c>
      <c r="HR139" s="4" t="s">
        <v>269</v>
      </c>
      <c r="HS139" s="4" t="s">
        <v>269</v>
      </c>
    </row>
    <row r="140" spans="1:240" x14ac:dyDescent="0.4">
      <c r="A140" s="4">
        <v>2</v>
      </c>
      <c r="B140" s="4" t="s">
        <v>239</v>
      </c>
      <c r="C140" s="4">
        <v>1239</v>
      </c>
      <c r="D140" s="4">
        <v>1</v>
      </c>
      <c r="E140" s="4">
        <v>3</v>
      </c>
      <c r="F140" s="4" t="s">
        <v>240</v>
      </c>
      <c r="G140" s="4" t="s">
        <v>241</v>
      </c>
      <c r="H140" s="4" t="s">
        <v>241</v>
      </c>
      <c r="I140" s="4" t="s">
        <v>607</v>
      </c>
      <c r="J140" s="4" t="s">
        <v>608</v>
      </c>
      <c r="K140" s="4" t="s">
        <v>249</v>
      </c>
      <c r="L140" s="4" t="s">
        <v>706</v>
      </c>
      <c r="M140" s="5" t="s">
        <v>611</v>
      </c>
      <c r="N140" s="4" t="s">
        <v>706</v>
      </c>
      <c r="O140" s="6">
        <f>218.61</f>
        <v>218.61</v>
      </c>
      <c r="P140" s="4" t="s">
        <v>267</v>
      </c>
      <c r="Q140" s="6">
        <f>12476524</f>
        <v>12476524</v>
      </c>
      <c r="R140" s="6">
        <f>38038140</f>
        <v>38038140</v>
      </c>
      <c r="S140" s="5" t="s">
        <v>710</v>
      </c>
      <c r="T140" s="4" t="s">
        <v>265</v>
      </c>
      <c r="U140" s="4" t="s">
        <v>322</v>
      </c>
      <c r="V140" s="6">
        <f>1597601</f>
        <v>1597601</v>
      </c>
      <c r="W140" s="6">
        <f>25561616</f>
        <v>25561616</v>
      </c>
      <c r="X140" s="4" t="s">
        <v>292</v>
      </c>
      <c r="Y140" s="4" t="s">
        <v>242</v>
      </c>
      <c r="Z140" s="4" t="s">
        <v>306</v>
      </c>
      <c r="AA140" s="4" t="s">
        <v>241</v>
      </c>
      <c r="AD140" s="4" t="s">
        <v>241</v>
      </c>
      <c r="AE140" s="5" t="s">
        <v>241</v>
      </c>
      <c r="AF140" s="5" t="s">
        <v>241</v>
      </c>
      <c r="AH140" s="5" t="s">
        <v>241</v>
      </c>
      <c r="AI140" s="5" t="s">
        <v>610</v>
      </c>
      <c r="AJ140" s="4" t="s">
        <v>245</v>
      </c>
      <c r="AK140" s="4" t="s">
        <v>246</v>
      </c>
      <c r="AQ140" s="4" t="s">
        <v>241</v>
      </c>
      <c r="AR140" s="4" t="s">
        <v>241</v>
      </c>
      <c r="AS140" s="4" t="s">
        <v>241</v>
      </c>
      <c r="AT140" s="5" t="s">
        <v>241</v>
      </c>
      <c r="AU140" s="5" t="s">
        <v>241</v>
      </c>
      <c r="AV140" s="5" t="s">
        <v>241</v>
      </c>
      <c r="AY140" s="4" t="s">
        <v>271</v>
      </c>
      <c r="AZ140" s="4" t="s">
        <v>271</v>
      </c>
      <c r="BA140" s="4" t="s">
        <v>247</v>
      </c>
      <c r="BB140" s="4" t="s">
        <v>272</v>
      </c>
      <c r="BC140" s="4" t="s">
        <v>248</v>
      </c>
      <c r="BD140" s="4" t="s">
        <v>241</v>
      </c>
      <c r="BE140" s="4" t="s">
        <v>250</v>
      </c>
      <c r="BF140" s="4" t="s">
        <v>241</v>
      </c>
      <c r="BJ140" s="4" t="s">
        <v>273</v>
      </c>
      <c r="BK140" s="5" t="s">
        <v>274</v>
      </c>
      <c r="BL140" s="4" t="s">
        <v>275</v>
      </c>
      <c r="BM140" s="4" t="s">
        <v>275</v>
      </c>
      <c r="BN140" s="4" t="s">
        <v>241</v>
      </c>
      <c r="BO140" s="6">
        <f>0</f>
        <v>0</v>
      </c>
      <c r="BP140" s="6">
        <f>-1597601</f>
        <v>-1597601</v>
      </c>
      <c r="BQ140" s="4" t="s">
        <v>255</v>
      </c>
      <c r="BR140" s="4" t="s">
        <v>256</v>
      </c>
      <c r="BS140" s="4" t="s">
        <v>241</v>
      </c>
      <c r="BT140" s="4" t="s">
        <v>241</v>
      </c>
      <c r="BU140" s="4" t="s">
        <v>241</v>
      </c>
      <c r="BV140" s="4" t="s">
        <v>241</v>
      </c>
      <c r="CE140" s="4" t="s">
        <v>256</v>
      </c>
      <c r="CF140" s="4" t="s">
        <v>241</v>
      </c>
      <c r="CG140" s="4" t="s">
        <v>241</v>
      </c>
      <c r="CK140" s="4" t="s">
        <v>276</v>
      </c>
      <c r="CL140" s="4" t="s">
        <v>258</v>
      </c>
      <c r="CM140" s="4" t="s">
        <v>241</v>
      </c>
      <c r="CO140" s="4" t="s">
        <v>711</v>
      </c>
      <c r="CP140" s="5" t="s">
        <v>260</v>
      </c>
      <c r="CQ140" s="4" t="s">
        <v>261</v>
      </c>
      <c r="CR140" s="4" t="s">
        <v>262</v>
      </c>
      <c r="CS140" s="4" t="s">
        <v>278</v>
      </c>
      <c r="CT140" s="4" t="s">
        <v>241</v>
      </c>
      <c r="CU140" s="4">
        <v>4.2000000000000003E-2</v>
      </c>
      <c r="CV140" s="4" t="s">
        <v>298</v>
      </c>
      <c r="CW140" s="4" t="s">
        <v>705</v>
      </c>
      <c r="CX140" s="4" t="s">
        <v>321</v>
      </c>
      <c r="CY140" s="6">
        <f>0</f>
        <v>0</v>
      </c>
      <c r="CZ140" s="6">
        <f>38038140</f>
        <v>38038140</v>
      </c>
      <c r="DA140" s="6">
        <f>12476524</f>
        <v>12476524</v>
      </c>
      <c r="DC140" s="4" t="s">
        <v>241</v>
      </c>
      <c r="DD140" s="4" t="s">
        <v>241</v>
      </c>
      <c r="DF140" s="4" t="s">
        <v>241</v>
      </c>
      <c r="DG140" s="6">
        <f>0</f>
        <v>0</v>
      </c>
      <c r="DI140" s="4" t="s">
        <v>241</v>
      </c>
      <c r="DJ140" s="4" t="s">
        <v>241</v>
      </c>
      <c r="DK140" s="4" t="s">
        <v>241</v>
      </c>
      <c r="DL140" s="4" t="s">
        <v>241</v>
      </c>
      <c r="DM140" s="4" t="s">
        <v>268</v>
      </c>
      <c r="DN140" s="4" t="s">
        <v>269</v>
      </c>
      <c r="DO140" s="6">
        <f>218.61</f>
        <v>218.61</v>
      </c>
      <c r="DP140" s="4" t="s">
        <v>241</v>
      </c>
      <c r="DQ140" s="4" t="s">
        <v>241</v>
      </c>
      <c r="DR140" s="4" t="s">
        <v>241</v>
      </c>
      <c r="DS140" s="4" t="s">
        <v>241</v>
      </c>
      <c r="DV140" s="4" t="s">
        <v>612</v>
      </c>
      <c r="DW140" s="4" t="s">
        <v>289</v>
      </c>
      <c r="GN140" s="4" t="s">
        <v>755</v>
      </c>
      <c r="HO140" s="4" t="s">
        <v>282</v>
      </c>
      <c r="HR140" s="4" t="s">
        <v>269</v>
      </c>
      <c r="HS140" s="4" t="s">
        <v>269</v>
      </c>
      <c r="HT140" s="4" t="s">
        <v>241</v>
      </c>
      <c r="HU140" s="4" t="s">
        <v>241</v>
      </c>
      <c r="HV140" s="4" t="s">
        <v>241</v>
      </c>
      <c r="HW140" s="4" t="s">
        <v>241</v>
      </c>
      <c r="HX140" s="4" t="s">
        <v>241</v>
      </c>
      <c r="HY140" s="4" t="s">
        <v>241</v>
      </c>
      <c r="HZ140" s="4" t="s">
        <v>241</v>
      </c>
      <c r="IA140" s="4" t="s">
        <v>241</v>
      </c>
      <c r="IB140" s="4" t="s">
        <v>241</v>
      </c>
      <c r="IC140" s="4" t="s">
        <v>241</v>
      </c>
      <c r="ID140" s="4" t="s">
        <v>241</v>
      </c>
      <c r="IE140" s="4" t="s">
        <v>241</v>
      </c>
      <c r="IF140" s="4" t="s">
        <v>241</v>
      </c>
    </row>
    <row r="141" spans="1:240" x14ac:dyDescent="0.4">
      <c r="A141" s="4">
        <v>2</v>
      </c>
      <c r="B141" s="4" t="s">
        <v>239</v>
      </c>
      <c r="C141" s="4">
        <v>1240</v>
      </c>
      <c r="D141" s="4">
        <v>1</v>
      </c>
      <c r="E141" s="4">
        <v>3</v>
      </c>
      <c r="F141" s="4" t="s">
        <v>290</v>
      </c>
      <c r="G141" s="4" t="s">
        <v>241</v>
      </c>
      <c r="H141" s="4" t="s">
        <v>241</v>
      </c>
      <c r="I141" s="4" t="s">
        <v>607</v>
      </c>
      <c r="J141" s="4" t="s">
        <v>608</v>
      </c>
      <c r="K141" s="4" t="s">
        <v>249</v>
      </c>
      <c r="L141" s="4" t="s">
        <v>241</v>
      </c>
      <c r="M141" s="5" t="s">
        <v>611</v>
      </c>
      <c r="N141" s="4" t="s">
        <v>606</v>
      </c>
      <c r="O141" s="6">
        <f>0</f>
        <v>0</v>
      </c>
      <c r="P141" s="4" t="s">
        <v>267</v>
      </c>
      <c r="Q141" s="6">
        <f>827724</f>
        <v>827724</v>
      </c>
      <c r="R141" s="6">
        <f>955800</f>
        <v>955800</v>
      </c>
      <c r="S141" s="5" t="s">
        <v>609</v>
      </c>
      <c r="T141" s="4" t="s">
        <v>322</v>
      </c>
      <c r="U141" s="4" t="s">
        <v>268</v>
      </c>
      <c r="V141" s="6">
        <f>64038</f>
        <v>64038</v>
      </c>
      <c r="W141" s="6">
        <f>128076</f>
        <v>128076</v>
      </c>
      <c r="X141" s="4" t="s">
        <v>292</v>
      </c>
      <c r="Y141" s="4" t="s">
        <v>242</v>
      </c>
      <c r="Z141" s="4" t="s">
        <v>241</v>
      </c>
      <c r="AA141" s="4" t="s">
        <v>241</v>
      </c>
      <c r="AD141" s="4" t="s">
        <v>241</v>
      </c>
      <c r="AE141" s="5" t="s">
        <v>241</v>
      </c>
      <c r="AF141" s="5" t="s">
        <v>241</v>
      </c>
      <c r="AH141" s="5" t="s">
        <v>241</v>
      </c>
      <c r="AI141" s="5" t="s">
        <v>610</v>
      </c>
      <c r="AJ141" s="4" t="s">
        <v>245</v>
      </c>
      <c r="AK141" s="4" t="s">
        <v>246</v>
      </c>
      <c r="AQ141" s="4" t="s">
        <v>241</v>
      </c>
      <c r="AR141" s="4" t="s">
        <v>241</v>
      </c>
      <c r="AS141" s="4" t="s">
        <v>241</v>
      </c>
      <c r="AT141" s="5" t="s">
        <v>241</v>
      </c>
      <c r="AU141" s="5" t="s">
        <v>241</v>
      </c>
      <c r="AV141" s="5" t="s">
        <v>241</v>
      </c>
      <c r="AY141" s="4" t="s">
        <v>271</v>
      </c>
      <c r="AZ141" s="4" t="s">
        <v>271</v>
      </c>
      <c r="BA141" s="4" t="s">
        <v>247</v>
      </c>
      <c r="BB141" s="4" t="s">
        <v>272</v>
      </c>
      <c r="BC141" s="4" t="s">
        <v>248</v>
      </c>
      <c r="BD141" s="4" t="s">
        <v>241</v>
      </c>
      <c r="BE141" s="4" t="s">
        <v>250</v>
      </c>
      <c r="BF141" s="4" t="s">
        <v>241</v>
      </c>
      <c r="BJ141" s="4" t="s">
        <v>273</v>
      </c>
      <c r="BK141" s="5" t="s">
        <v>274</v>
      </c>
      <c r="BL141" s="4" t="s">
        <v>275</v>
      </c>
      <c r="BM141" s="4" t="s">
        <v>275</v>
      </c>
      <c r="BN141" s="4" t="s">
        <v>241</v>
      </c>
      <c r="BP141" s="6">
        <f>-64038</f>
        <v>-64038</v>
      </c>
      <c r="BQ141" s="4" t="s">
        <v>255</v>
      </c>
      <c r="BR141" s="4" t="s">
        <v>256</v>
      </c>
      <c r="BS141" s="4" t="s">
        <v>241</v>
      </c>
      <c r="BT141" s="4" t="s">
        <v>241</v>
      </c>
      <c r="BU141" s="4" t="s">
        <v>241</v>
      </c>
      <c r="BV141" s="4" t="s">
        <v>241</v>
      </c>
      <c r="CE141" s="4" t="s">
        <v>256</v>
      </c>
      <c r="CF141" s="4" t="s">
        <v>241</v>
      </c>
      <c r="CG141" s="4" t="s">
        <v>241</v>
      </c>
      <c r="CK141" s="4" t="s">
        <v>276</v>
      </c>
      <c r="CL141" s="4" t="s">
        <v>258</v>
      </c>
      <c r="CM141" s="4" t="s">
        <v>241</v>
      </c>
      <c r="CO141" s="4" t="s">
        <v>297</v>
      </c>
      <c r="CP141" s="5" t="s">
        <v>260</v>
      </c>
      <c r="CQ141" s="4" t="s">
        <v>261</v>
      </c>
      <c r="CR141" s="4" t="s">
        <v>262</v>
      </c>
      <c r="CS141" s="4" t="s">
        <v>278</v>
      </c>
      <c r="CT141" s="4" t="s">
        <v>241</v>
      </c>
      <c r="CU141" s="4">
        <v>6.7000000000000004E-2</v>
      </c>
      <c r="CV141" s="4" t="s">
        <v>298</v>
      </c>
      <c r="CW141" s="4" t="s">
        <v>594</v>
      </c>
      <c r="CX141" s="4" t="s">
        <v>604</v>
      </c>
      <c r="CY141" s="6">
        <f>0</f>
        <v>0</v>
      </c>
      <c r="CZ141" s="6">
        <f>955800</f>
        <v>955800</v>
      </c>
      <c r="DA141" s="6">
        <f>827724</f>
        <v>827724</v>
      </c>
      <c r="DC141" s="4" t="s">
        <v>241</v>
      </c>
      <c r="DD141" s="4" t="s">
        <v>241</v>
      </c>
      <c r="DF141" s="4" t="s">
        <v>241</v>
      </c>
      <c r="DG141" s="6">
        <f>0</f>
        <v>0</v>
      </c>
      <c r="DI141" s="4" t="s">
        <v>241</v>
      </c>
      <c r="DJ141" s="4" t="s">
        <v>241</v>
      </c>
      <c r="DK141" s="4" t="s">
        <v>241</v>
      </c>
      <c r="DL141" s="4" t="s">
        <v>241</v>
      </c>
      <c r="DM141" s="4" t="s">
        <v>269</v>
      </c>
      <c r="DN141" s="4" t="s">
        <v>269</v>
      </c>
      <c r="DO141" s="6" t="s">
        <v>241</v>
      </c>
      <c r="DP141" s="4" t="s">
        <v>241</v>
      </c>
      <c r="DQ141" s="4" t="s">
        <v>241</v>
      </c>
      <c r="DR141" s="4" t="s">
        <v>241</v>
      </c>
      <c r="DS141" s="4" t="s">
        <v>241</v>
      </c>
      <c r="DV141" s="4" t="s">
        <v>612</v>
      </c>
      <c r="DW141" s="4" t="s">
        <v>281</v>
      </c>
      <c r="GN141" s="4" t="s">
        <v>613</v>
      </c>
      <c r="HO141" s="4" t="s">
        <v>281</v>
      </c>
      <c r="HR141" s="4" t="s">
        <v>269</v>
      </c>
      <c r="HS141" s="4" t="s">
        <v>269</v>
      </c>
      <c r="HT141" s="4" t="s">
        <v>241</v>
      </c>
      <c r="HU141" s="4" t="s">
        <v>241</v>
      </c>
      <c r="HV141" s="4" t="s">
        <v>241</v>
      </c>
      <c r="HW141" s="4" t="s">
        <v>241</v>
      </c>
      <c r="HX141" s="4" t="s">
        <v>241</v>
      </c>
      <c r="HY141" s="4" t="s">
        <v>241</v>
      </c>
      <c r="HZ141" s="4" t="s">
        <v>241</v>
      </c>
      <c r="IA141" s="4" t="s">
        <v>241</v>
      </c>
      <c r="IB141" s="4" t="s">
        <v>241</v>
      </c>
      <c r="IC141" s="4" t="s">
        <v>241</v>
      </c>
      <c r="ID141" s="4" t="s">
        <v>241</v>
      </c>
      <c r="IE141" s="4" t="s">
        <v>241</v>
      </c>
      <c r="IF141" s="4" t="s">
        <v>241</v>
      </c>
    </row>
    <row r="142" spans="1:240" x14ac:dyDescent="0.4">
      <c r="A142" s="4">
        <v>2</v>
      </c>
      <c r="B142" s="4" t="s">
        <v>239</v>
      </c>
      <c r="C142" s="4">
        <v>1241</v>
      </c>
      <c r="D142" s="4">
        <v>1</v>
      </c>
      <c r="E142" s="4">
        <v>1</v>
      </c>
      <c r="F142" s="4" t="s">
        <v>240</v>
      </c>
      <c r="G142" s="4" t="s">
        <v>241</v>
      </c>
      <c r="H142" s="4" t="s">
        <v>241</v>
      </c>
      <c r="I142" s="4" t="s">
        <v>717</v>
      </c>
      <c r="J142" s="4" t="s">
        <v>545</v>
      </c>
      <c r="K142" s="4" t="s">
        <v>249</v>
      </c>
      <c r="L142" s="4" t="s">
        <v>687</v>
      </c>
      <c r="M142" s="5" t="s">
        <v>690</v>
      </c>
      <c r="N142" s="4" t="s">
        <v>687</v>
      </c>
      <c r="O142" s="6">
        <f>587.87</f>
        <v>587.87</v>
      </c>
      <c r="P142" s="4" t="s">
        <v>267</v>
      </c>
      <c r="Q142" s="6">
        <f>1</f>
        <v>1</v>
      </c>
      <c r="R142" s="6">
        <f>218099770</f>
        <v>218099770</v>
      </c>
      <c r="S142" s="5" t="s">
        <v>504</v>
      </c>
      <c r="T142" s="4" t="s">
        <v>265</v>
      </c>
      <c r="U142" s="4" t="s">
        <v>356</v>
      </c>
      <c r="W142" s="6">
        <f>218099769</f>
        <v>218099769</v>
      </c>
      <c r="X142" s="4" t="s">
        <v>292</v>
      </c>
      <c r="Y142" s="4" t="s">
        <v>242</v>
      </c>
      <c r="Z142" s="4" t="s">
        <v>306</v>
      </c>
      <c r="AA142" s="4" t="s">
        <v>241</v>
      </c>
      <c r="AD142" s="4" t="s">
        <v>241</v>
      </c>
      <c r="AF142" s="5" t="s">
        <v>241</v>
      </c>
      <c r="AI142" s="5" t="s">
        <v>703</v>
      </c>
      <c r="AJ142" s="4" t="s">
        <v>245</v>
      </c>
      <c r="AK142" s="4" t="s">
        <v>246</v>
      </c>
      <c r="BA142" s="4" t="s">
        <v>247</v>
      </c>
      <c r="BB142" s="4" t="s">
        <v>241</v>
      </c>
      <c r="BC142" s="4" t="s">
        <v>248</v>
      </c>
      <c r="BD142" s="4" t="s">
        <v>241</v>
      </c>
      <c r="BE142" s="4" t="s">
        <v>250</v>
      </c>
      <c r="BF142" s="4" t="s">
        <v>241</v>
      </c>
      <c r="BH142" s="4" t="s">
        <v>340</v>
      </c>
      <c r="BJ142" s="4" t="s">
        <v>251</v>
      </c>
      <c r="BK142" s="5" t="s">
        <v>703</v>
      </c>
      <c r="BL142" s="4" t="s">
        <v>253</v>
      </c>
      <c r="BM142" s="4" t="s">
        <v>254</v>
      </c>
      <c r="BN142" s="4" t="s">
        <v>241</v>
      </c>
      <c r="BO142" s="6">
        <f>0</f>
        <v>0</v>
      </c>
      <c r="BP142" s="6">
        <f>0</f>
        <v>0</v>
      </c>
      <c r="BQ142" s="4" t="s">
        <v>255</v>
      </c>
      <c r="BR142" s="4" t="s">
        <v>256</v>
      </c>
      <c r="CF142" s="4" t="s">
        <v>241</v>
      </c>
      <c r="CG142" s="4" t="s">
        <v>241</v>
      </c>
      <c r="CK142" s="4" t="s">
        <v>276</v>
      </c>
      <c r="CL142" s="4" t="s">
        <v>258</v>
      </c>
      <c r="CM142" s="4" t="s">
        <v>241</v>
      </c>
      <c r="CO142" s="4" t="s">
        <v>688</v>
      </c>
      <c r="CP142" s="5" t="s">
        <v>260</v>
      </c>
      <c r="CQ142" s="4" t="s">
        <v>261</v>
      </c>
      <c r="CR142" s="4" t="s">
        <v>262</v>
      </c>
      <c r="CS142" s="4" t="s">
        <v>241</v>
      </c>
      <c r="CT142" s="4" t="s">
        <v>241</v>
      </c>
      <c r="CU142" s="4">
        <v>0</v>
      </c>
      <c r="CV142" s="4" t="s">
        <v>298</v>
      </c>
      <c r="CW142" s="4" t="s">
        <v>684</v>
      </c>
      <c r="CX142" s="4" t="s">
        <v>321</v>
      </c>
      <c r="CZ142" s="6">
        <f>218099770</f>
        <v>218099770</v>
      </c>
      <c r="DA142" s="6">
        <f>0</f>
        <v>0</v>
      </c>
      <c r="DC142" s="4" t="s">
        <v>241</v>
      </c>
      <c r="DD142" s="4" t="s">
        <v>241</v>
      </c>
      <c r="DF142" s="4" t="s">
        <v>241</v>
      </c>
      <c r="DI142" s="4" t="s">
        <v>241</v>
      </c>
      <c r="DJ142" s="4" t="s">
        <v>241</v>
      </c>
      <c r="DK142" s="4" t="s">
        <v>241</v>
      </c>
      <c r="DL142" s="4" t="s">
        <v>241</v>
      </c>
      <c r="DM142" s="4" t="s">
        <v>268</v>
      </c>
      <c r="DN142" s="4" t="s">
        <v>269</v>
      </c>
      <c r="DO142" s="6">
        <f>587.87</f>
        <v>587.87</v>
      </c>
      <c r="DP142" s="4" t="s">
        <v>241</v>
      </c>
      <c r="DQ142" s="4" t="s">
        <v>241</v>
      </c>
      <c r="DR142" s="4" t="s">
        <v>241</v>
      </c>
      <c r="DS142" s="4" t="s">
        <v>241</v>
      </c>
      <c r="DV142" s="4" t="s">
        <v>719</v>
      </c>
      <c r="DW142" s="4" t="s">
        <v>268</v>
      </c>
      <c r="HO142" s="4" t="s">
        <v>268</v>
      </c>
      <c r="HR142" s="4" t="s">
        <v>269</v>
      </c>
      <c r="HS142" s="4" t="s">
        <v>269</v>
      </c>
    </row>
    <row r="143" spans="1:240" x14ac:dyDescent="0.4">
      <c r="A143" s="4">
        <v>2</v>
      </c>
      <c r="B143" s="4" t="s">
        <v>239</v>
      </c>
      <c r="C143" s="4">
        <v>1244</v>
      </c>
      <c r="D143" s="4">
        <v>1</v>
      </c>
      <c r="E143" s="4">
        <v>1</v>
      </c>
      <c r="F143" s="4" t="s">
        <v>240</v>
      </c>
      <c r="G143" s="4" t="s">
        <v>241</v>
      </c>
      <c r="H143" s="4" t="s">
        <v>241</v>
      </c>
      <c r="I143" s="4" t="s">
        <v>781</v>
      </c>
      <c r="J143" s="4" t="s">
        <v>294</v>
      </c>
      <c r="K143" s="4" t="s">
        <v>249</v>
      </c>
      <c r="L143" s="4" t="s">
        <v>308</v>
      </c>
      <c r="M143" s="5" t="s">
        <v>783</v>
      </c>
      <c r="N143" s="4" t="s">
        <v>308</v>
      </c>
      <c r="O143" s="6">
        <f>13.72</f>
        <v>13.72</v>
      </c>
      <c r="P143" s="4" t="s">
        <v>267</v>
      </c>
      <c r="Q143" s="6">
        <f>1</f>
        <v>1</v>
      </c>
      <c r="R143" s="6">
        <f>2016840</f>
        <v>2016840</v>
      </c>
      <c r="S143" s="5" t="s">
        <v>782</v>
      </c>
      <c r="T143" s="4" t="s">
        <v>322</v>
      </c>
      <c r="U143" s="4" t="s">
        <v>285</v>
      </c>
      <c r="W143" s="6">
        <f>2016839</f>
        <v>2016839</v>
      </c>
      <c r="X143" s="4" t="s">
        <v>292</v>
      </c>
      <c r="Y143" s="4" t="s">
        <v>242</v>
      </c>
      <c r="Z143" s="4" t="s">
        <v>306</v>
      </c>
      <c r="AA143" s="4" t="s">
        <v>241</v>
      </c>
      <c r="AD143" s="4" t="s">
        <v>241</v>
      </c>
      <c r="AF143" s="5" t="s">
        <v>241</v>
      </c>
      <c r="AI143" s="5" t="s">
        <v>718</v>
      </c>
      <c r="AJ143" s="4" t="s">
        <v>245</v>
      </c>
      <c r="AK143" s="4" t="s">
        <v>246</v>
      </c>
      <c r="BA143" s="4" t="s">
        <v>247</v>
      </c>
      <c r="BB143" s="4" t="s">
        <v>241</v>
      </c>
      <c r="BC143" s="4" t="s">
        <v>248</v>
      </c>
      <c r="BD143" s="4" t="s">
        <v>241</v>
      </c>
      <c r="BE143" s="4" t="s">
        <v>250</v>
      </c>
      <c r="BF143" s="4" t="s">
        <v>241</v>
      </c>
      <c r="BH143" s="4" t="s">
        <v>340</v>
      </c>
      <c r="BJ143" s="4" t="s">
        <v>251</v>
      </c>
      <c r="BK143" s="5" t="s">
        <v>252</v>
      </c>
      <c r="BL143" s="4" t="s">
        <v>253</v>
      </c>
      <c r="BM143" s="4" t="s">
        <v>254</v>
      </c>
      <c r="BN143" s="4" t="s">
        <v>241</v>
      </c>
      <c r="BO143" s="6">
        <f>0</f>
        <v>0</v>
      </c>
      <c r="BP143" s="6">
        <f>0</f>
        <v>0</v>
      </c>
      <c r="BQ143" s="4" t="s">
        <v>255</v>
      </c>
      <c r="BR143" s="4" t="s">
        <v>256</v>
      </c>
      <c r="CF143" s="4" t="s">
        <v>241</v>
      </c>
      <c r="CG143" s="4" t="s">
        <v>241</v>
      </c>
      <c r="CK143" s="4" t="s">
        <v>276</v>
      </c>
      <c r="CL143" s="4" t="s">
        <v>258</v>
      </c>
      <c r="CM143" s="4" t="s">
        <v>241</v>
      </c>
      <c r="CO143" s="4" t="s">
        <v>353</v>
      </c>
      <c r="CP143" s="5" t="s">
        <v>260</v>
      </c>
      <c r="CQ143" s="4" t="s">
        <v>261</v>
      </c>
      <c r="CR143" s="4" t="s">
        <v>262</v>
      </c>
      <c r="CS143" s="4" t="s">
        <v>241</v>
      </c>
      <c r="CT143" s="4" t="s">
        <v>241</v>
      </c>
      <c r="CU143" s="4">
        <v>0</v>
      </c>
      <c r="CV143" s="4" t="s">
        <v>298</v>
      </c>
      <c r="CW143" s="4" t="s">
        <v>299</v>
      </c>
      <c r="CX143" s="4" t="s">
        <v>321</v>
      </c>
      <c r="CZ143" s="6">
        <f>2016840</f>
        <v>2016840</v>
      </c>
      <c r="DA143" s="6">
        <f>0</f>
        <v>0</v>
      </c>
      <c r="DC143" s="4" t="s">
        <v>241</v>
      </c>
      <c r="DD143" s="4" t="s">
        <v>241</v>
      </c>
      <c r="DF143" s="4" t="s">
        <v>241</v>
      </c>
      <c r="DI143" s="4" t="s">
        <v>241</v>
      </c>
      <c r="DJ143" s="4" t="s">
        <v>241</v>
      </c>
      <c r="DK143" s="4" t="s">
        <v>241</v>
      </c>
      <c r="DL143" s="4" t="s">
        <v>241</v>
      </c>
      <c r="DM143" s="4" t="s">
        <v>268</v>
      </c>
      <c r="DN143" s="4" t="s">
        <v>269</v>
      </c>
      <c r="DO143" s="6">
        <f>13.72</f>
        <v>13.72</v>
      </c>
      <c r="DP143" s="4" t="s">
        <v>241</v>
      </c>
      <c r="DQ143" s="4" t="s">
        <v>241</v>
      </c>
      <c r="DR143" s="4" t="s">
        <v>241</v>
      </c>
      <c r="DS143" s="4" t="s">
        <v>241</v>
      </c>
      <c r="DV143" s="4" t="s">
        <v>784</v>
      </c>
      <c r="DW143" s="4" t="s">
        <v>268</v>
      </c>
      <c r="HO143" s="4" t="s">
        <v>268</v>
      </c>
      <c r="HR143" s="4" t="s">
        <v>269</v>
      </c>
      <c r="HS143" s="4" t="s">
        <v>269</v>
      </c>
    </row>
    <row r="144" spans="1:240" x14ac:dyDescent="0.4">
      <c r="A144" s="4">
        <v>2</v>
      </c>
      <c r="B144" s="4" t="s">
        <v>239</v>
      </c>
      <c r="C144" s="4">
        <v>1245</v>
      </c>
      <c r="D144" s="4">
        <v>1</v>
      </c>
      <c r="E144" s="4">
        <v>1</v>
      </c>
      <c r="F144" s="4" t="s">
        <v>290</v>
      </c>
      <c r="G144" s="4" t="s">
        <v>241</v>
      </c>
      <c r="H144" s="4" t="s">
        <v>241</v>
      </c>
      <c r="I144" s="4" t="s">
        <v>582</v>
      </c>
      <c r="J144" s="4" t="s">
        <v>317</v>
      </c>
      <c r="K144" s="4" t="s">
        <v>249</v>
      </c>
      <c r="L144" s="4" t="s">
        <v>241</v>
      </c>
      <c r="M144" s="5" t="s">
        <v>584</v>
      </c>
      <c r="N144" s="4" t="s">
        <v>581</v>
      </c>
      <c r="O144" s="6">
        <f>43.53</f>
        <v>43.53</v>
      </c>
      <c r="P144" s="4" t="s">
        <v>267</v>
      </c>
      <c r="Q144" s="6">
        <f>1</f>
        <v>1</v>
      </c>
      <c r="R144" s="6">
        <f>1</f>
        <v>1</v>
      </c>
      <c r="S144" s="5" t="s">
        <v>583</v>
      </c>
      <c r="T144" s="4" t="s">
        <v>285</v>
      </c>
      <c r="U144" s="4" t="s">
        <v>587</v>
      </c>
      <c r="W144" s="6">
        <f>0</f>
        <v>0</v>
      </c>
      <c r="X144" s="4" t="s">
        <v>292</v>
      </c>
      <c r="Y144" s="4" t="s">
        <v>242</v>
      </c>
      <c r="Z144" s="4" t="s">
        <v>270</v>
      </c>
      <c r="AA144" s="4" t="s">
        <v>241</v>
      </c>
      <c r="AD144" s="4" t="s">
        <v>241</v>
      </c>
      <c r="AF144" s="5" t="s">
        <v>241</v>
      </c>
      <c r="AI144" s="5" t="s">
        <v>244</v>
      </c>
      <c r="AJ144" s="4" t="s">
        <v>245</v>
      </c>
      <c r="AK144" s="4" t="s">
        <v>246</v>
      </c>
      <c r="BA144" s="4" t="s">
        <v>247</v>
      </c>
      <c r="BB144" s="4" t="s">
        <v>241</v>
      </c>
      <c r="BC144" s="4" t="s">
        <v>248</v>
      </c>
      <c r="BD144" s="4" t="s">
        <v>241</v>
      </c>
      <c r="BE144" s="4" t="s">
        <v>250</v>
      </c>
      <c r="BF144" s="4" t="s">
        <v>241</v>
      </c>
      <c r="BJ144" s="4" t="s">
        <v>399</v>
      </c>
      <c r="BK144" s="5" t="s">
        <v>244</v>
      </c>
      <c r="BL144" s="4" t="s">
        <v>253</v>
      </c>
      <c r="BM144" s="4" t="s">
        <v>585</v>
      </c>
      <c r="BN144" s="4" t="s">
        <v>241</v>
      </c>
      <c r="BO144" s="6">
        <f>0</f>
        <v>0</v>
      </c>
      <c r="BP144" s="6">
        <f>0</f>
        <v>0</v>
      </c>
      <c r="BQ144" s="4" t="s">
        <v>255</v>
      </c>
      <c r="BR144" s="4" t="s">
        <v>256</v>
      </c>
      <c r="CF144" s="4" t="s">
        <v>241</v>
      </c>
      <c r="CG144" s="4" t="s">
        <v>241</v>
      </c>
      <c r="CK144" s="4" t="s">
        <v>276</v>
      </c>
      <c r="CL144" s="4" t="s">
        <v>258</v>
      </c>
      <c r="CM144" s="4" t="s">
        <v>241</v>
      </c>
      <c r="CO144" s="4" t="s">
        <v>510</v>
      </c>
      <c r="CP144" s="5" t="s">
        <v>260</v>
      </c>
      <c r="CQ144" s="4" t="s">
        <v>261</v>
      </c>
      <c r="CR144" s="4" t="s">
        <v>262</v>
      </c>
      <c r="CS144" s="4" t="s">
        <v>241</v>
      </c>
      <c r="CT144" s="4" t="s">
        <v>241</v>
      </c>
      <c r="CU144" s="4">
        <v>0</v>
      </c>
      <c r="CV144" s="4" t="s">
        <v>298</v>
      </c>
      <c r="CW144" s="4" t="s">
        <v>586</v>
      </c>
      <c r="CX144" s="4" t="s">
        <v>321</v>
      </c>
      <c r="CZ144" s="6">
        <f>1</f>
        <v>1</v>
      </c>
      <c r="DA144" s="6">
        <f>0</f>
        <v>0</v>
      </c>
      <c r="DC144" s="4" t="s">
        <v>241</v>
      </c>
      <c r="DD144" s="4" t="s">
        <v>241</v>
      </c>
      <c r="DF144" s="4" t="s">
        <v>241</v>
      </c>
      <c r="DI144" s="4" t="s">
        <v>241</v>
      </c>
      <c r="DJ144" s="4" t="s">
        <v>241</v>
      </c>
      <c r="DK144" s="4" t="s">
        <v>241</v>
      </c>
      <c r="DL144" s="4" t="s">
        <v>241</v>
      </c>
      <c r="DM144" s="4" t="s">
        <v>268</v>
      </c>
      <c r="DN144" s="4" t="s">
        <v>269</v>
      </c>
      <c r="DO144" s="6">
        <f>43.53</f>
        <v>43.53</v>
      </c>
      <c r="DP144" s="4" t="s">
        <v>241</v>
      </c>
      <c r="DQ144" s="4" t="s">
        <v>241</v>
      </c>
      <c r="DR144" s="4" t="s">
        <v>241</v>
      </c>
      <c r="DS144" s="4" t="s">
        <v>241</v>
      </c>
      <c r="DV144" s="4" t="s">
        <v>588</v>
      </c>
      <c r="DW144" s="4" t="s">
        <v>268</v>
      </c>
      <c r="HO144" s="4" t="s">
        <v>268</v>
      </c>
      <c r="HR144" s="4" t="s">
        <v>269</v>
      </c>
      <c r="HS144" s="4" t="s">
        <v>269</v>
      </c>
    </row>
    <row r="145" spans="1:240" x14ac:dyDescent="0.4">
      <c r="A145" s="4">
        <v>2</v>
      </c>
      <c r="B145" s="4" t="s">
        <v>239</v>
      </c>
      <c r="C145" s="4">
        <v>1246</v>
      </c>
      <c r="D145" s="4">
        <v>1</v>
      </c>
      <c r="E145" s="4">
        <v>3</v>
      </c>
      <c r="F145" s="4" t="s">
        <v>290</v>
      </c>
      <c r="G145" s="4" t="s">
        <v>241</v>
      </c>
      <c r="H145" s="4" t="s">
        <v>241</v>
      </c>
      <c r="I145" s="4" t="s">
        <v>582</v>
      </c>
      <c r="J145" s="4" t="s">
        <v>317</v>
      </c>
      <c r="K145" s="4" t="s">
        <v>249</v>
      </c>
      <c r="L145" s="4" t="s">
        <v>241</v>
      </c>
      <c r="M145" s="5" t="s">
        <v>584</v>
      </c>
      <c r="N145" s="4" t="s">
        <v>589</v>
      </c>
      <c r="O145" s="6">
        <f>0</f>
        <v>0</v>
      </c>
      <c r="P145" s="4" t="s">
        <v>267</v>
      </c>
      <c r="Q145" s="6">
        <f>4080328</f>
        <v>4080328</v>
      </c>
      <c r="R145" s="6">
        <f>5000400</f>
        <v>5000400</v>
      </c>
      <c r="S145" s="5" t="s">
        <v>590</v>
      </c>
      <c r="T145" s="4" t="s">
        <v>285</v>
      </c>
      <c r="U145" s="4" t="s">
        <v>281</v>
      </c>
      <c r="V145" s="6">
        <f>230018</f>
        <v>230018</v>
      </c>
      <c r="W145" s="6">
        <f>920072</f>
        <v>920072</v>
      </c>
      <c r="X145" s="4" t="s">
        <v>292</v>
      </c>
      <c r="Y145" s="4" t="s">
        <v>242</v>
      </c>
      <c r="Z145" s="4" t="s">
        <v>270</v>
      </c>
      <c r="AA145" s="4" t="s">
        <v>241</v>
      </c>
      <c r="AD145" s="4" t="s">
        <v>241</v>
      </c>
      <c r="AE145" s="5" t="s">
        <v>241</v>
      </c>
      <c r="AF145" s="5" t="s">
        <v>241</v>
      </c>
      <c r="AH145" s="5" t="s">
        <v>241</v>
      </c>
      <c r="AI145" s="5" t="s">
        <v>244</v>
      </c>
      <c r="AJ145" s="4" t="s">
        <v>245</v>
      </c>
      <c r="AK145" s="4" t="s">
        <v>246</v>
      </c>
      <c r="AQ145" s="4" t="s">
        <v>241</v>
      </c>
      <c r="AR145" s="4" t="s">
        <v>241</v>
      </c>
      <c r="AS145" s="4" t="s">
        <v>241</v>
      </c>
      <c r="AT145" s="5" t="s">
        <v>241</v>
      </c>
      <c r="AU145" s="5" t="s">
        <v>241</v>
      </c>
      <c r="AV145" s="5" t="s">
        <v>241</v>
      </c>
      <c r="AY145" s="4" t="s">
        <v>271</v>
      </c>
      <c r="AZ145" s="4" t="s">
        <v>271</v>
      </c>
      <c r="BA145" s="4" t="s">
        <v>247</v>
      </c>
      <c r="BB145" s="4" t="s">
        <v>272</v>
      </c>
      <c r="BC145" s="4" t="s">
        <v>248</v>
      </c>
      <c r="BD145" s="4" t="s">
        <v>241</v>
      </c>
      <c r="BE145" s="4" t="s">
        <v>250</v>
      </c>
      <c r="BF145" s="4" t="s">
        <v>241</v>
      </c>
      <c r="BJ145" s="4" t="s">
        <v>273</v>
      </c>
      <c r="BK145" s="5" t="s">
        <v>274</v>
      </c>
      <c r="BL145" s="4" t="s">
        <v>275</v>
      </c>
      <c r="BM145" s="4" t="s">
        <v>275</v>
      </c>
      <c r="BN145" s="4" t="s">
        <v>241</v>
      </c>
      <c r="BP145" s="6">
        <f>-230018</f>
        <v>-230018</v>
      </c>
      <c r="BQ145" s="4" t="s">
        <v>255</v>
      </c>
      <c r="BR145" s="4" t="s">
        <v>256</v>
      </c>
      <c r="BS145" s="4" t="s">
        <v>241</v>
      </c>
      <c r="BT145" s="4" t="s">
        <v>241</v>
      </c>
      <c r="BU145" s="4" t="s">
        <v>241</v>
      </c>
      <c r="BV145" s="4" t="s">
        <v>241</v>
      </c>
      <c r="CE145" s="4" t="s">
        <v>256</v>
      </c>
      <c r="CF145" s="4" t="s">
        <v>241</v>
      </c>
      <c r="CG145" s="4" t="s">
        <v>241</v>
      </c>
      <c r="CK145" s="4" t="s">
        <v>276</v>
      </c>
      <c r="CL145" s="4" t="s">
        <v>258</v>
      </c>
      <c r="CM145" s="4" t="s">
        <v>241</v>
      </c>
      <c r="CO145" s="4" t="s">
        <v>591</v>
      </c>
      <c r="CP145" s="5" t="s">
        <v>260</v>
      </c>
      <c r="CQ145" s="4" t="s">
        <v>261</v>
      </c>
      <c r="CR145" s="4" t="s">
        <v>262</v>
      </c>
      <c r="CS145" s="4" t="s">
        <v>278</v>
      </c>
      <c r="CT145" s="4" t="s">
        <v>241</v>
      </c>
      <c r="CU145" s="4">
        <v>4.5999999999999999E-2</v>
      </c>
      <c r="CV145" s="4" t="s">
        <v>298</v>
      </c>
      <c r="CW145" s="4" t="s">
        <v>586</v>
      </c>
      <c r="CX145" s="4" t="s">
        <v>321</v>
      </c>
      <c r="CY145" s="6">
        <f>0</f>
        <v>0</v>
      </c>
      <c r="CZ145" s="6">
        <f>5000400</f>
        <v>5000400</v>
      </c>
      <c r="DA145" s="6">
        <f>4080328</f>
        <v>4080328</v>
      </c>
      <c r="DC145" s="4" t="s">
        <v>241</v>
      </c>
      <c r="DD145" s="4" t="s">
        <v>241</v>
      </c>
      <c r="DF145" s="4" t="s">
        <v>241</v>
      </c>
      <c r="DG145" s="6">
        <f>0</f>
        <v>0</v>
      </c>
      <c r="DI145" s="4" t="s">
        <v>241</v>
      </c>
      <c r="DJ145" s="4" t="s">
        <v>241</v>
      </c>
      <c r="DK145" s="4" t="s">
        <v>241</v>
      </c>
      <c r="DL145" s="4" t="s">
        <v>241</v>
      </c>
      <c r="DM145" s="4" t="s">
        <v>269</v>
      </c>
      <c r="DN145" s="4" t="s">
        <v>269</v>
      </c>
      <c r="DO145" s="6" t="s">
        <v>241</v>
      </c>
      <c r="DP145" s="4" t="s">
        <v>241</v>
      </c>
      <c r="DQ145" s="4" t="s">
        <v>241</v>
      </c>
      <c r="DR145" s="4" t="s">
        <v>241</v>
      </c>
      <c r="DS145" s="4" t="s">
        <v>241</v>
      </c>
      <c r="DV145" s="4" t="s">
        <v>588</v>
      </c>
      <c r="DW145" s="4" t="s">
        <v>289</v>
      </c>
      <c r="GN145" s="4" t="s">
        <v>592</v>
      </c>
      <c r="HO145" s="4" t="s">
        <v>330</v>
      </c>
      <c r="HR145" s="4" t="s">
        <v>269</v>
      </c>
      <c r="HS145" s="4" t="s">
        <v>269</v>
      </c>
      <c r="HT145" s="4" t="s">
        <v>241</v>
      </c>
      <c r="HU145" s="4" t="s">
        <v>241</v>
      </c>
      <c r="HV145" s="4" t="s">
        <v>241</v>
      </c>
      <c r="HW145" s="4" t="s">
        <v>241</v>
      </c>
      <c r="HX145" s="4" t="s">
        <v>241</v>
      </c>
      <c r="HY145" s="4" t="s">
        <v>241</v>
      </c>
      <c r="HZ145" s="4" t="s">
        <v>241</v>
      </c>
      <c r="IA145" s="4" t="s">
        <v>241</v>
      </c>
      <c r="IB145" s="4" t="s">
        <v>241</v>
      </c>
      <c r="IC145" s="4" t="s">
        <v>241</v>
      </c>
      <c r="ID145" s="4" t="s">
        <v>241</v>
      </c>
      <c r="IE145" s="4" t="s">
        <v>241</v>
      </c>
      <c r="IF145" s="4" t="s">
        <v>241</v>
      </c>
    </row>
    <row r="146" spans="1:240" x14ac:dyDescent="0.4">
      <c r="A146" s="4">
        <v>2</v>
      </c>
      <c r="B146" s="4" t="s">
        <v>239</v>
      </c>
      <c r="C146" s="4">
        <v>1290</v>
      </c>
      <c r="D146" s="4">
        <v>1</v>
      </c>
      <c r="E146" s="4">
        <v>1</v>
      </c>
      <c r="F146" s="4" t="s">
        <v>240</v>
      </c>
      <c r="G146" s="4" t="s">
        <v>241</v>
      </c>
      <c r="H146" s="4" t="s">
        <v>241</v>
      </c>
      <c r="I146" s="4" t="s">
        <v>557</v>
      </c>
      <c r="J146" s="4" t="s">
        <v>317</v>
      </c>
      <c r="K146" s="4" t="s">
        <v>249</v>
      </c>
      <c r="L146" s="4" t="s">
        <v>308</v>
      </c>
      <c r="M146" s="5" t="s">
        <v>558</v>
      </c>
      <c r="N146" s="4" t="s">
        <v>308</v>
      </c>
      <c r="O146" s="6">
        <f>18.1</f>
        <v>18.100000000000001</v>
      </c>
      <c r="P146" s="4" t="s">
        <v>267</v>
      </c>
      <c r="Q146" s="6">
        <f>1</f>
        <v>1</v>
      </c>
      <c r="R146" s="6">
        <f>1810000</f>
        <v>1810000</v>
      </c>
      <c r="S146" s="5" t="s">
        <v>243</v>
      </c>
      <c r="T146" s="4" t="s">
        <v>355</v>
      </c>
      <c r="U146" s="4" t="s">
        <v>266</v>
      </c>
      <c r="W146" s="6">
        <f>1809999</f>
        <v>1809999</v>
      </c>
      <c r="X146" s="4" t="s">
        <v>292</v>
      </c>
      <c r="Y146" s="4" t="s">
        <v>242</v>
      </c>
      <c r="Z146" s="4" t="s">
        <v>306</v>
      </c>
      <c r="AA146" s="4" t="s">
        <v>241</v>
      </c>
      <c r="AD146" s="4" t="s">
        <v>241</v>
      </c>
      <c r="AF146" s="5" t="s">
        <v>241</v>
      </c>
      <c r="AI146" s="5" t="s">
        <v>244</v>
      </c>
      <c r="AJ146" s="4" t="s">
        <v>245</v>
      </c>
      <c r="AK146" s="4" t="s">
        <v>246</v>
      </c>
      <c r="BA146" s="4" t="s">
        <v>247</v>
      </c>
      <c r="BB146" s="4" t="s">
        <v>241</v>
      </c>
      <c r="BC146" s="4" t="s">
        <v>248</v>
      </c>
      <c r="BD146" s="4" t="s">
        <v>241</v>
      </c>
      <c r="BE146" s="4" t="s">
        <v>250</v>
      </c>
      <c r="BF146" s="4" t="s">
        <v>241</v>
      </c>
      <c r="BJ146" s="4" t="s">
        <v>433</v>
      </c>
      <c r="BK146" s="5" t="s">
        <v>434</v>
      </c>
      <c r="BL146" s="4" t="s">
        <v>253</v>
      </c>
      <c r="BM146" s="4" t="s">
        <v>254</v>
      </c>
      <c r="BN146" s="4" t="s">
        <v>241</v>
      </c>
      <c r="BO146" s="6">
        <f>0</f>
        <v>0</v>
      </c>
      <c r="BP146" s="6">
        <f>0</f>
        <v>0</v>
      </c>
      <c r="BQ146" s="4" t="s">
        <v>255</v>
      </c>
      <c r="BR146" s="4" t="s">
        <v>256</v>
      </c>
      <c r="CF146" s="4" t="s">
        <v>241</v>
      </c>
      <c r="CG146" s="4" t="s">
        <v>241</v>
      </c>
      <c r="CK146" s="4" t="s">
        <v>257</v>
      </c>
      <c r="CL146" s="4" t="s">
        <v>258</v>
      </c>
      <c r="CM146" s="4" t="s">
        <v>241</v>
      </c>
      <c r="CO146" s="4" t="s">
        <v>259</v>
      </c>
      <c r="CP146" s="5" t="s">
        <v>260</v>
      </c>
      <c r="CQ146" s="4" t="s">
        <v>261</v>
      </c>
      <c r="CR146" s="4" t="s">
        <v>262</v>
      </c>
      <c r="CS146" s="4" t="s">
        <v>241</v>
      </c>
      <c r="CT146" s="4" t="s">
        <v>241</v>
      </c>
      <c r="CU146" s="4">
        <v>0</v>
      </c>
      <c r="CV146" s="4" t="s">
        <v>298</v>
      </c>
      <c r="CW146" s="4" t="s">
        <v>299</v>
      </c>
      <c r="CX146" s="4" t="s">
        <v>354</v>
      </c>
      <c r="CZ146" s="6">
        <f>1810000</f>
        <v>1810000</v>
      </c>
      <c r="DA146" s="6">
        <f>0</f>
        <v>0</v>
      </c>
      <c r="DC146" s="4" t="s">
        <v>241</v>
      </c>
      <c r="DD146" s="4" t="s">
        <v>241</v>
      </c>
      <c r="DF146" s="4" t="s">
        <v>241</v>
      </c>
      <c r="DI146" s="4" t="s">
        <v>241</v>
      </c>
      <c r="DJ146" s="4" t="s">
        <v>241</v>
      </c>
      <c r="DK146" s="4" t="s">
        <v>241</v>
      </c>
      <c r="DL146" s="4" t="s">
        <v>241</v>
      </c>
      <c r="DM146" s="4" t="s">
        <v>268</v>
      </c>
      <c r="DN146" s="4" t="s">
        <v>269</v>
      </c>
      <c r="DO146" s="6">
        <f>18.1</f>
        <v>18.100000000000001</v>
      </c>
      <c r="DP146" s="4" t="s">
        <v>241</v>
      </c>
      <c r="DQ146" s="4" t="s">
        <v>241</v>
      </c>
      <c r="DR146" s="4" t="s">
        <v>241</v>
      </c>
      <c r="DS146" s="4" t="s">
        <v>241</v>
      </c>
      <c r="DV146" s="4" t="s">
        <v>559</v>
      </c>
      <c r="DW146" s="4" t="s">
        <v>268</v>
      </c>
      <c r="HO146" s="4" t="s">
        <v>268</v>
      </c>
      <c r="HR146" s="4" t="s">
        <v>269</v>
      </c>
      <c r="HS146" s="4" t="s">
        <v>269</v>
      </c>
    </row>
    <row r="147" spans="1:240" x14ac:dyDescent="0.4">
      <c r="A147" s="4">
        <v>2</v>
      </c>
      <c r="B147" s="4" t="s">
        <v>239</v>
      </c>
      <c r="C147" s="4">
        <v>1291</v>
      </c>
      <c r="D147" s="4">
        <v>1</v>
      </c>
      <c r="E147" s="4">
        <v>1</v>
      </c>
      <c r="F147" s="4" t="s">
        <v>240</v>
      </c>
      <c r="G147" s="4" t="s">
        <v>241</v>
      </c>
      <c r="H147" s="4" t="s">
        <v>241</v>
      </c>
      <c r="I147" s="4" t="s">
        <v>560</v>
      </c>
      <c r="J147" s="4" t="s">
        <v>317</v>
      </c>
      <c r="K147" s="4" t="s">
        <v>249</v>
      </c>
      <c r="L147" s="4" t="s">
        <v>308</v>
      </c>
      <c r="M147" s="5" t="s">
        <v>561</v>
      </c>
      <c r="N147" s="4" t="s">
        <v>308</v>
      </c>
      <c r="O147" s="6">
        <f>3.94</f>
        <v>3.94</v>
      </c>
      <c r="P147" s="4" t="s">
        <v>267</v>
      </c>
      <c r="Q147" s="6">
        <f>1</f>
        <v>1</v>
      </c>
      <c r="R147" s="6">
        <f>394000</f>
        <v>394000</v>
      </c>
      <c r="S147" s="5" t="s">
        <v>243</v>
      </c>
      <c r="T147" s="4" t="s">
        <v>355</v>
      </c>
      <c r="U147" s="4" t="s">
        <v>266</v>
      </c>
      <c r="W147" s="6">
        <f>393999</f>
        <v>393999</v>
      </c>
      <c r="X147" s="4" t="s">
        <v>292</v>
      </c>
      <c r="Y147" s="4" t="s">
        <v>242</v>
      </c>
      <c r="Z147" s="4" t="s">
        <v>306</v>
      </c>
      <c r="AA147" s="4" t="s">
        <v>241</v>
      </c>
      <c r="AD147" s="4" t="s">
        <v>241</v>
      </c>
      <c r="AF147" s="5" t="s">
        <v>241</v>
      </c>
      <c r="AI147" s="5" t="s">
        <v>244</v>
      </c>
      <c r="AJ147" s="4" t="s">
        <v>245</v>
      </c>
      <c r="AK147" s="4" t="s">
        <v>246</v>
      </c>
      <c r="BA147" s="4" t="s">
        <v>247</v>
      </c>
      <c r="BB147" s="4" t="s">
        <v>241</v>
      </c>
      <c r="BC147" s="4" t="s">
        <v>248</v>
      </c>
      <c r="BD147" s="4" t="s">
        <v>241</v>
      </c>
      <c r="BE147" s="4" t="s">
        <v>250</v>
      </c>
      <c r="BF147" s="4" t="s">
        <v>241</v>
      </c>
      <c r="BJ147" s="4" t="s">
        <v>251</v>
      </c>
      <c r="BK147" s="5" t="s">
        <v>252</v>
      </c>
      <c r="BL147" s="4" t="s">
        <v>253</v>
      </c>
      <c r="BM147" s="4" t="s">
        <v>254</v>
      </c>
      <c r="BN147" s="4" t="s">
        <v>241</v>
      </c>
      <c r="BO147" s="6">
        <f>0</f>
        <v>0</v>
      </c>
      <c r="BP147" s="6">
        <f>0</f>
        <v>0</v>
      </c>
      <c r="BQ147" s="4" t="s">
        <v>255</v>
      </c>
      <c r="BR147" s="4" t="s">
        <v>256</v>
      </c>
      <c r="CF147" s="4" t="s">
        <v>241</v>
      </c>
      <c r="CG147" s="4" t="s">
        <v>241</v>
      </c>
      <c r="CK147" s="4" t="s">
        <v>257</v>
      </c>
      <c r="CL147" s="4" t="s">
        <v>258</v>
      </c>
      <c r="CM147" s="4" t="s">
        <v>241</v>
      </c>
      <c r="CO147" s="4" t="s">
        <v>259</v>
      </c>
      <c r="CP147" s="5" t="s">
        <v>260</v>
      </c>
      <c r="CQ147" s="4" t="s">
        <v>261</v>
      </c>
      <c r="CR147" s="4" t="s">
        <v>262</v>
      </c>
      <c r="CS147" s="4" t="s">
        <v>241</v>
      </c>
      <c r="CT147" s="4" t="s">
        <v>241</v>
      </c>
      <c r="CU147" s="4">
        <v>0</v>
      </c>
      <c r="CV147" s="4" t="s">
        <v>298</v>
      </c>
      <c r="CW147" s="4" t="s">
        <v>299</v>
      </c>
      <c r="CX147" s="4" t="s">
        <v>354</v>
      </c>
      <c r="CZ147" s="6">
        <f>394000</f>
        <v>394000</v>
      </c>
      <c r="DA147" s="6">
        <f>0</f>
        <v>0</v>
      </c>
      <c r="DC147" s="4" t="s">
        <v>241</v>
      </c>
      <c r="DD147" s="4" t="s">
        <v>241</v>
      </c>
      <c r="DF147" s="4" t="s">
        <v>241</v>
      </c>
      <c r="DI147" s="4" t="s">
        <v>241</v>
      </c>
      <c r="DJ147" s="4" t="s">
        <v>241</v>
      </c>
      <c r="DK147" s="4" t="s">
        <v>241</v>
      </c>
      <c r="DL147" s="4" t="s">
        <v>241</v>
      </c>
      <c r="DM147" s="4" t="s">
        <v>268</v>
      </c>
      <c r="DN147" s="4" t="s">
        <v>269</v>
      </c>
      <c r="DO147" s="6">
        <f>3.94</f>
        <v>3.94</v>
      </c>
      <c r="DP147" s="4" t="s">
        <v>241</v>
      </c>
      <c r="DQ147" s="4" t="s">
        <v>241</v>
      </c>
      <c r="DR147" s="4" t="s">
        <v>241</v>
      </c>
      <c r="DS147" s="4" t="s">
        <v>241</v>
      </c>
      <c r="DV147" s="4" t="s">
        <v>562</v>
      </c>
      <c r="DW147" s="4" t="s">
        <v>268</v>
      </c>
      <c r="HO147" s="4" t="s">
        <v>268</v>
      </c>
      <c r="HR147" s="4" t="s">
        <v>269</v>
      </c>
      <c r="HS147" s="4" t="s">
        <v>269</v>
      </c>
    </row>
  </sheetData>
  <autoFilter ref="A1:IT147">
    <sortState ref="A2:IT1739">
      <sortCondition ref="C1"/>
    </sortState>
  </autoFilter>
  <phoneticPr fontId="1"/>
  <printOptions gridLines="1"/>
  <pageMargins left="0.70866141732283472" right="0.70866141732283472" top="0.74803149606299213" bottom="0.74803149606299213" header="0.31496062992125984" footer="0.31496062992125984"/>
  <pageSetup paperSize="8" scale="32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藤木 隆雄</dc:creator>
  <cp:lastModifiedBy>星　和希</cp:lastModifiedBy>
  <cp:lastPrinted>2015-11-06T10:02:44Z</cp:lastPrinted>
  <dcterms:created xsi:type="dcterms:W3CDTF">2015-11-06T11:18:40Z</dcterms:created>
  <dcterms:modified xsi:type="dcterms:W3CDTF">2023-04-17T05:14:17Z</dcterms:modified>
</cp:coreProperties>
</file>